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20730" windowHeight="9720" firstSheet="6" activeTab="10"/>
  </bookViews>
  <sheets>
    <sheet name="basic scenarios" sheetId="3" r:id="rId1"/>
    <sheet name="Sensiitivity" sheetId="12" r:id="rId2"/>
    <sheet name="Grafer" sheetId="7" r:id="rId3"/>
    <sheet name="CFRP production" sheetId="8" r:id="rId4"/>
    <sheet name="polyster (no epoxy)" sheetId="13" r:id="rId5"/>
    <sheet name="prodcution CFRP" sheetId="9" r:id="rId6"/>
    <sheet name="10 years-scenarie" sheetId="10" r:id="rId7"/>
    <sheet name="AL production" sheetId="11" r:id="rId8"/>
    <sheet name="CFRP korteres produtionstid" sheetId="14" r:id="rId9"/>
    <sheet name="LCA- break even" sheetId="15" r:id="rId10"/>
    <sheet name="LCC" sheetId="16" r:id="rId11"/>
  </sheets>
  <externalReferences>
    <externalReference r:id="rId12"/>
  </externalReferences>
  <definedNames>
    <definedName name="AlconstrucEco">'basic scenarios'!$P$44</definedName>
    <definedName name="AlconstrucHuman">'basic scenarios'!$P$45</definedName>
    <definedName name="AlconstrucResources">'basic scenarios'!$P$46</definedName>
    <definedName name="Alteofeco">'basic scenarios'!$E$44</definedName>
    <definedName name="Alteofhuman">'basic scenarios'!$E$45</definedName>
    <definedName name="Alteofresource">'basic scenarios'!$E$46</definedName>
    <definedName name="Altoperationeco">'basic scenarios'!$F$44</definedName>
    <definedName name="Altoperationhuman">'basic scenarios'!$F$45</definedName>
    <definedName name="Altoperationresources">'basic scenarios'!$F$46</definedName>
    <definedName name="Altotaleco">'basic scenarios'!$D$44</definedName>
    <definedName name="Altotalhuman">'basic scenarios'!$D$45</definedName>
    <definedName name="Altotalresource">'basic scenarios'!$D$46</definedName>
    <definedName name="Altproductioneco">'basic scenarios'!$G$44</definedName>
    <definedName name="Altproductionhuman">'basic scenarios'!$G$45</definedName>
    <definedName name="Altproductionresources">'basic scenarios'!$G$46</definedName>
    <definedName name="Altraweco">'basic scenarios'!$H$44</definedName>
    <definedName name="Altrawhuman">'basic scenarios'!$H$45</definedName>
    <definedName name="AltRawrescources">'basic scenarios'!$H$46</definedName>
    <definedName name="CFconstructionECo">'basic scenarios'!$Q$44</definedName>
    <definedName name="CFconstructionHuman">'basic scenarios'!$Q$45</definedName>
    <definedName name="CFconstructionresource">'basic scenarios'!$Q$46</definedName>
    <definedName name="CFeofeco">'basic scenarios'!$K$44</definedName>
    <definedName name="CFeofhuman">'basic scenarios'!$K$45</definedName>
    <definedName name="CFeofoperation">'basic scenarios'!$L$44</definedName>
    <definedName name="CFeofoperationeco">'basic scenarios'!$L$44</definedName>
    <definedName name="CFeofoperationhuman">'basic scenarios'!$L$45</definedName>
    <definedName name="CFeofoperationresources">'basic scenarios'!$L$46</definedName>
    <definedName name="CFeofREsources">'basic scenarios'!$K$46</definedName>
    <definedName name="CFproductionEco">'basic scenarios'!$M$44</definedName>
    <definedName name="CFproductionHuman">'basic scenarios'!$M$45</definedName>
    <definedName name="CFproductionResources">'basic scenarios'!$M$46</definedName>
    <definedName name="CFrawEco">'basic scenarios'!$N$44</definedName>
    <definedName name="CFrawhuman">'basic scenarios'!$N$45</definedName>
    <definedName name="CFrawresources">'basic scenarios'!$N$46</definedName>
    <definedName name="CFtotaleco">'basic scenarios'!$J$44</definedName>
    <definedName name="CFtotalhuman">'basic scenarios'!$J$45</definedName>
    <definedName name="CFtotalREsources">'basic scenarios'!$J$46</definedName>
  </definedNames>
  <calcPr calcId="145621"/>
</workbook>
</file>

<file path=xl/calcChain.xml><?xml version="1.0" encoding="utf-8"?>
<calcChain xmlns="http://schemas.openxmlformats.org/spreadsheetml/2006/main">
  <c r="C20" i="16" l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19" i="16"/>
  <c r="D11" i="16"/>
  <c r="C11" i="16"/>
  <c r="D10" i="16"/>
  <c r="C9" i="16"/>
  <c r="D8" i="16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C8" i="16"/>
  <c r="D5" i="16"/>
  <c r="C5" i="16"/>
  <c r="C10" i="16" s="1"/>
  <c r="D4" i="16"/>
  <c r="D9" i="16" s="1"/>
  <c r="C13" i="16" s="1"/>
  <c r="C14" i="16" s="1"/>
  <c r="B3" i="16"/>
  <c r="D50" i="16" l="1"/>
  <c r="F12" i="16"/>
  <c r="E51" i="10"/>
  <c r="I13" i="9"/>
  <c r="I12" i="9"/>
  <c r="I9" i="9"/>
  <c r="F67" i="12"/>
  <c r="BF38" i="12"/>
  <c r="DO46" i="12" l="1"/>
  <c r="DO50" i="12" s="1"/>
  <c r="DP44" i="12"/>
  <c r="DP48" i="12" s="1"/>
  <c r="DR41" i="12"/>
  <c r="DR46" i="12" s="1"/>
  <c r="DR50" i="12" s="1"/>
  <c r="DQ41" i="12"/>
  <c r="DQ46" i="12" s="1"/>
  <c r="DP41" i="12"/>
  <c r="DP46" i="12" s="1"/>
  <c r="DP50" i="12" s="1"/>
  <c r="DO41" i="12"/>
  <c r="DN41" i="12"/>
  <c r="DN46" i="12" s="1"/>
  <c r="DN50" i="12" s="1"/>
  <c r="DR39" i="12"/>
  <c r="DR44" i="12" s="1"/>
  <c r="DR48" i="12" s="1"/>
  <c r="DQ39" i="12"/>
  <c r="DQ44" i="12" s="1"/>
  <c r="DP39" i="12"/>
  <c r="DO39" i="12"/>
  <c r="DO44" i="12" s="1"/>
  <c r="DO48" i="12" s="1"/>
  <c r="DN39" i="12"/>
  <c r="DN44" i="12" s="1"/>
  <c r="DN48" i="12" s="1"/>
  <c r="DR38" i="12"/>
  <c r="DQ38" i="12"/>
  <c r="DP38" i="12"/>
  <c r="DO38" i="12"/>
  <c r="DN38" i="12"/>
  <c r="DI44" i="12"/>
  <c r="DI48" i="12" s="1"/>
  <c r="DK41" i="12"/>
  <c r="DK46" i="12" s="1"/>
  <c r="DK50" i="12" s="1"/>
  <c r="DJ41" i="12"/>
  <c r="DJ46" i="12" s="1"/>
  <c r="DI41" i="12"/>
  <c r="DI46" i="12" s="1"/>
  <c r="DI50" i="12" s="1"/>
  <c r="DH41" i="12"/>
  <c r="DH46" i="12" s="1"/>
  <c r="DH50" i="12" s="1"/>
  <c r="DG41" i="12"/>
  <c r="DG46" i="12" s="1"/>
  <c r="DG50" i="12" s="1"/>
  <c r="DK39" i="12"/>
  <c r="DK44" i="12" s="1"/>
  <c r="DK48" i="12" s="1"/>
  <c r="DJ39" i="12"/>
  <c r="DJ44" i="12" s="1"/>
  <c r="DI39" i="12"/>
  <c r="DH39" i="12"/>
  <c r="DH44" i="12" s="1"/>
  <c r="DH48" i="12" s="1"/>
  <c r="DG39" i="12"/>
  <c r="DG44" i="12" s="1"/>
  <c r="DG48" i="12" s="1"/>
  <c r="DK38" i="12"/>
  <c r="DJ38" i="12"/>
  <c r="DI38" i="12"/>
  <c r="DH38" i="12"/>
  <c r="DG38" i="12"/>
  <c r="DD41" i="12"/>
  <c r="DD46" i="12" s="1"/>
  <c r="DD50" i="12" s="1"/>
  <c r="DC41" i="12"/>
  <c r="DC46" i="12" s="1"/>
  <c r="DB41" i="12"/>
  <c r="DB46" i="12" s="1"/>
  <c r="DB50" i="12" s="1"/>
  <c r="DA41" i="12"/>
  <c r="DA46" i="12" s="1"/>
  <c r="DA50" i="12" s="1"/>
  <c r="CZ41" i="12"/>
  <c r="CZ46" i="12" s="1"/>
  <c r="CZ50" i="12" s="1"/>
  <c r="DD39" i="12"/>
  <c r="DD44" i="12" s="1"/>
  <c r="DD48" i="12" s="1"/>
  <c r="DC39" i="12"/>
  <c r="DC44" i="12" s="1"/>
  <c r="DB39" i="12"/>
  <c r="DB44" i="12" s="1"/>
  <c r="DB48" i="12" s="1"/>
  <c r="DA39" i="12"/>
  <c r="DA44" i="12" s="1"/>
  <c r="DA48" i="12" s="1"/>
  <c r="CZ39" i="12"/>
  <c r="CZ44" i="12" s="1"/>
  <c r="CZ48" i="12" s="1"/>
  <c r="DD38" i="12"/>
  <c r="DC38" i="12"/>
  <c r="DB38" i="12"/>
  <c r="DA38" i="12"/>
  <c r="CZ38" i="12"/>
  <c r="CW41" i="12"/>
  <c r="CW46" i="12" s="1"/>
  <c r="CW50" i="12" s="1"/>
  <c r="CV41" i="12"/>
  <c r="CV46" i="12" s="1"/>
  <c r="CU41" i="12"/>
  <c r="CU46" i="12" s="1"/>
  <c r="CU50" i="12" s="1"/>
  <c r="CT41" i="12"/>
  <c r="CT46" i="12" s="1"/>
  <c r="CT50" i="12" s="1"/>
  <c r="CS41" i="12"/>
  <c r="CS46" i="12" s="1"/>
  <c r="CS50" i="12" s="1"/>
  <c r="CW39" i="12"/>
  <c r="CW44" i="12" s="1"/>
  <c r="CW48" i="12" s="1"/>
  <c r="CV39" i="12"/>
  <c r="CV44" i="12" s="1"/>
  <c r="CU39" i="12"/>
  <c r="CU44" i="12" s="1"/>
  <c r="CU48" i="12" s="1"/>
  <c r="CT39" i="12"/>
  <c r="CT44" i="12" s="1"/>
  <c r="CT48" i="12" s="1"/>
  <c r="CS39" i="12"/>
  <c r="CS44" i="12" s="1"/>
  <c r="CS48" i="12" s="1"/>
  <c r="CW38" i="12"/>
  <c r="CV38" i="12"/>
  <c r="CU38" i="12"/>
  <c r="CT38" i="12"/>
  <c r="CS38" i="12"/>
  <c r="CL48" i="12"/>
  <c r="CM44" i="12"/>
  <c r="CM48" i="12" s="1"/>
  <c r="CO41" i="12"/>
  <c r="CO46" i="12" s="1"/>
  <c r="CO50" i="12" s="1"/>
  <c r="CN41" i="12"/>
  <c r="CN46" i="12" s="1"/>
  <c r="CP46" i="12" s="1"/>
  <c r="CP50" i="12" s="1"/>
  <c r="CM41" i="12"/>
  <c r="CM46" i="12" s="1"/>
  <c r="CM50" i="12" s="1"/>
  <c r="CL41" i="12"/>
  <c r="CL46" i="12" s="1"/>
  <c r="CL50" i="12" s="1"/>
  <c r="CK41" i="12"/>
  <c r="CK46" i="12" s="1"/>
  <c r="CK50" i="12" s="1"/>
  <c r="CO39" i="12"/>
  <c r="CO44" i="12" s="1"/>
  <c r="CO48" i="12" s="1"/>
  <c r="CN39" i="12"/>
  <c r="CN44" i="12" s="1"/>
  <c r="CN48" i="12" s="1"/>
  <c r="CM39" i="12"/>
  <c r="CL39" i="12"/>
  <c r="CL44" i="12" s="1"/>
  <c r="CK39" i="12"/>
  <c r="CK44" i="12" s="1"/>
  <c r="CK48" i="12" s="1"/>
  <c r="CO38" i="12"/>
  <c r="CN38" i="12"/>
  <c r="CM38" i="12"/>
  <c r="CL38" i="12"/>
  <c r="CK38" i="12"/>
  <c r="DQ48" i="12" l="1"/>
  <c r="DS44" i="12"/>
  <c r="DS48" i="12" s="1"/>
  <c r="DQ50" i="12"/>
  <c r="DS46" i="12"/>
  <c r="DS50" i="12" s="1"/>
  <c r="DS39" i="12"/>
  <c r="DS41" i="12"/>
  <c r="DJ48" i="12"/>
  <c r="DL44" i="12"/>
  <c r="DL48" i="12" s="1"/>
  <c r="DL46" i="12"/>
  <c r="DL50" i="12" s="1"/>
  <c r="DJ50" i="12"/>
  <c r="DL39" i="12"/>
  <c r="DL41" i="12"/>
  <c r="CN50" i="12"/>
  <c r="DC48" i="12"/>
  <c r="DE44" i="12"/>
  <c r="DE48" i="12" s="1"/>
  <c r="DC50" i="12"/>
  <c r="DE46" i="12"/>
  <c r="DE50" i="12" s="1"/>
  <c r="DE39" i="12"/>
  <c r="DE41" i="12"/>
  <c r="CX46" i="12"/>
  <c r="CX50" i="12" s="1"/>
  <c r="CV50" i="12"/>
  <c r="CV48" i="12"/>
  <c r="CX44" i="12"/>
  <c r="CX48" i="12" s="1"/>
  <c r="CX39" i="12"/>
  <c r="CX41" i="12"/>
  <c r="CP44" i="12"/>
  <c r="CP48" i="12" s="1"/>
  <c r="CP39" i="12"/>
  <c r="CP41" i="12"/>
  <c r="F234" i="7" l="1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33" i="7"/>
  <c r="CG41" i="12"/>
  <c r="CG46" i="12" s="1"/>
  <c r="CF41" i="12"/>
  <c r="CF46" i="12" s="1"/>
  <c r="CE41" i="12"/>
  <c r="CE46" i="12" s="1"/>
  <c r="CD41" i="12"/>
  <c r="CD46" i="12" s="1"/>
  <c r="CC41" i="12"/>
  <c r="CC46" i="12" s="1"/>
  <c r="CG39" i="12"/>
  <c r="CG44" i="12" s="1"/>
  <c r="CF39" i="12"/>
  <c r="CF44" i="12" s="1"/>
  <c r="CE39" i="12"/>
  <c r="CE44" i="12" s="1"/>
  <c r="CD39" i="12"/>
  <c r="CD44" i="12" s="1"/>
  <c r="CC39" i="12"/>
  <c r="CC44" i="12" s="1"/>
  <c r="CG38" i="12"/>
  <c r="CF38" i="12"/>
  <c r="CE38" i="12"/>
  <c r="CD38" i="12"/>
  <c r="CC38" i="12"/>
  <c r="CH41" i="12" l="1"/>
  <c r="CH39" i="12"/>
  <c r="CH44" i="12"/>
  <c r="CH46" i="12"/>
  <c r="BX41" i="12" l="1"/>
  <c r="BX46" i="12" s="1"/>
  <c r="BY41" i="12"/>
  <c r="BY46" i="12" s="1"/>
  <c r="BY39" i="12"/>
  <c r="BY44" i="12" s="1"/>
  <c r="BX39" i="12"/>
  <c r="BX44" i="12" s="1"/>
  <c r="BS41" i="12"/>
  <c r="BS46" i="12" s="1"/>
  <c r="BR41" i="12"/>
  <c r="BR46" i="12" s="1"/>
  <c r="BQ41" i="12"/>
  <c r="BQ46" i="12" s="1"/>
  <c r="BP41" i="12"/>
  <c r="BP46" i="12" s="1"/>
  <c r="BO41" i="12"/>
  <c r="BO46" i="12" s="1"/>
  <c r="BS39" i="12"/>
  <c r="BS44" i="12" s="1"/>
  <c r="BR39" i="12"/>
  <c r="BR44" i="12" s="1"/>
  <c r="BQ39" i="12"/>
  <c r="BQ44" i="12" s="1"/>
  <c r="BP39" i="12"/>
  <c r="BP44" i="12" s="1"/>
  <c r="BO39" i="12"/>
  <c r="BO44" i="12" s="1"/>
  <c r="BS38" i="12"/>
  <c r="BR38" i="12"/>
  <c r="BQ38" i="12"/>
  <c r="BP38" i="12"/>
  <c r="BO38" i="12"/>
  <c r="BT44" i="12" l="1"/>
  <c r="BT46" i="12"/>
  <c r="BT39" i="12"/>
  <c r="BT41" i="12"/>
  <c r="A12" i="15"/>
  <c r="A13" i="15"/>
  <c r="A11" i="15"/>
  <c r="J7" i="15"/>
  <c r="J8" i="15"/>
  <c r="J6" i="15"/>
  <c r="K7" i="15"/>
  <c r="K8" i="15"/>
  <c r="M8" i="15" s="1"/>
  <c r="N8" i="15" s="1"/>
  <c r="O8" i="15" s="1"/>
  <c r="B13" i="15" s="1"/>
  <c r="K6" i="15"/>
  <c r="M6" i="15" s="1"/>
  <c r="N6" i="15" s="1"/>
  <c r="O6" i="15" s="1"/>
  <c r="B11" i="15" s="1"/>
  <c r="D7" i="15"/>
  <c r="D8" i="15"/>
  <c r="D6" i="15"/>
  <c r="E7" i="15"/>
  <c r="M7" i="15" s="1"/>
  <c r="N7" i="15" s="1"/>
  <c r="O7" i="15" s="1"/>
  <c r="B12" i="15" s="1"/>
  <c r="E8" i="15"/>
  <c r="E6" i="15"/>
  <c r="D31" i="14" l="1"/>
  <c r="C31" i="14"/>
  <c r="B31" i="14"/>
  <c r="A27" i="14"/>
  <c r="A33" i="14" s="1"/>
  <c r="B25" i="14"/>
  <c r="A25" i="14"/>
  <c r="B24" i="14"/>
  <c r="A19" i="14"/>
  <c r="A21" i="14"/>
  <c r="A22" i="14"/>
  <c r="B22" i="14"/>
  <c r="C22" i="14"/>
  <c r="D22" i="14"/>
  <c r="E22" i="14"/>
  <c r="F22" i="14"/>
  <c r="G22" i="14"/>
  <c r="H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B18" i="14"/>
  <c r="B17" i="14"/>
  <c r="K15" i="14"/>
  <c r="J15" i="14"/>
  <c r="I15" i="14"/>
  <c r="H15" i="14"/>
  <c r="G15" i="14"/>
  <c r="F15" i="14"/>
  <c r="E15" i="14"/>
  <c r="D15" i="14"/>
  <c r="C15" i="14"/>
  <c r="B15" i="14"/>
  <c r="A15" i="14"/>
  <c r="K11" i="14"/>
  <c r="A5" i="14"/>
  <c r="A9" i="14" s="1"/>
  <c r="A14" i="14" s="1"/>
  <c r="A4" i="14"/>
  <c r="A8" i="14" s="1"/>
  <c r="A13" i="14" s="1"/>
  <c r="A3" i="14"/>
  <c r="A7" i="14" s="1"/>
  <c r="A12" i="14" s="1"/>
  <c r="AC2" i="14"/>
  <c r="AB2" i="14"/>
  <c r="AA2" i="14"/>
  <c r="Z2" i="14"/>
  <c r="Y2" i="14"/>
  <c r="X2" i="14"/>
  <c r="W2" i="14"/>
  <c r="A2" i="14"/>
  <c r="A18" i="14" s="1"/>
  <c r="J51" i="12"/>
  <c r="I6" i="13"/>
  <c r="I11" i="13"/>
  <c r="A2" i="13"/>
  <c r="A4" i="13"/>
  <c r="A5" i="13"/>
  <c r="A8" i="13"/>
  <c r="A9" i="13"/>
  <c r="A10" i="13"/>
  <c r="A3" i="13"/>
  <c r="A20" i="14" l="1"/>
  <c r="A28" i="14"/>
  <c r="A34" i="14" s="1"/>
  <c r="A26" i="14"/>
  <c r="A32" i="14" s="1"/>
  <c r="B2" i="13" l="1"/>
  <c r="BG38" i="12"/>
  <c r="C2" i="13" s="1"/>
  <c r="BH38" i="12"/>
  <c r="D2" i="13" s="1"/>
  <c r="BI38" i="12"/>
  <c r="E2" i="13" s="1"/>
  <c r="BJ38" i="12"/>
  <c r="F2" i="13" s="1"/>
  <c r="BF39" i="12"/>
  <c r="B3" i="13" s="1"/>
  <c r="BG39" i="12"/>
  <c r="C3" i="13" s="1"/>
  <c r="BH39" i="12"/>
  <c r="BI39" i="12"/>
  <c r="BJ39" i="12"/>
  <c r="F3" i="13" s="1"/>
  <c r="BF41" i="12"/>
  <c r="B5" i="13" s="1"/>
  <c r="BG41" i="12"/>
  <c r="BH41" i="12"/>
  <c r="BI41" i="12"/>
  <c r="BJ41" i="12"/>
  <c r="F5" i="13" s="1"/>
  <c r="BF44" i="12"/>
  <c r="BG44" i="12"/>
  <c r="CI46" i="12"/>
  <c r="CJ46" i="12"/>
  <c r="K11" i="9"/>
  <c r="A15" i="9"/>
  <c r="B15" i="9"/>
  <c r="C15" i="9"/>
  <c r="D15" i="9"/>
  <c r="E15" i="9"/>
  <c r="F15" i="9"/>
  <c r="G15" i="9"/>
  <c r="H15" i="9"/>
  <c r="I15" i="9"/>
  <c r="J15" i="9"/>
  <c r="K15" i="9"/>
  <c r="BK41" i="12" l="1"/>
  <c r="BK39" i="12"/>
  <c r="BJ46" i="12"/>
  <c r="F10" i="13" s="1"/>
  <c r="BJ44" i="12"/>
  <c r="F8" i="13" s="1"/>
  <c r="BF46" i="12"/>
  <c r="BH46" i="12"/>
  <c r="D5" i="13"/>
  <c r="B8" i="13"/>
  <c r="BH44" i="12"/>
  <c r="D3" i="13"/>
  <c r="C8" i="13"/>
  <c r="BG46" i="12"/>
  <c r="C5" i="13"/>
  <c r="B10" i="13"/>
  <c r="BI46" i="12"/>
  <c r="E5" i="13"/>
  <c r="BI44" i="12"/>
  <c r="E3" i="13"/>
  <c r="C49" i="12"/>
  <c r="C50" i="12"/>
  <c r="C48" i="12"/>
  <c r="AZ38" i="12"/>
  <c r="BA38" i="12"/>
  <c r="BB38" i="12"/>
  <c r="BC38" i="12"/>
  <c r="AZ39" i="12"/>
  <c r="AZ44" i="12" s="1"/>
  <c r="BA39" i="12"/>
  <c r="BA44" i="12" s="1"/>
  <c r="BB39" i="12"/>
  <c r="BC39" i="12"/>
  <c r="BC44" i="12" s="1"/>
  <c r="AZ41" i="12"/>
  <c r="AZ46" i="12" s="1"/>
  <c r="BA41" i="12"/>
  <c r="BA46" i="12" s="1"/>
  <c r="BB41" i="12"/>
  <c r="BC41" i="12"/>
  <c r="BC46" i="12" s="1"/>
  <c r="E38" i="12"/>
  <c r="F38" i="12"/>
  <c r="G38" i="12"/>
  <c r="H38" i="12"/>
  <c r="J38" i="12"/>
  <c r="K38" i="12"/>
  <c r="L38" i="12"/>
  <c r="M38" i="12"/>
  <c r="N38" i="12"/>
  <c r="Q38" i="12"/>
  <c r="R38" i="12"/>
  <c r="S38" i="12"/>
  <c r="T38" i="12"/>
  <c r="U38" i="12"/>
  <c r="X38" i="12"/>
  <c r="Y38" i="12"/>
  <c r="Z38" i="12"/>
  <c r="AA38" i="12"/>
  <c r="AB38" i="12"/>
  <c r="AE38" i="12"/>
  <c r="AF38" i="12"/>
  <c r="AG38" i="12"/>
  <c r="AH38" i="12"/>
  <c r="AI38" i="12"/>
  <c r="AL38" i="12"/>
  <c r="AM38" i="12"/>
  <c r="AN38" i="12"/>
  <c r="AO38" i="12"/>
  <c r="AP38" i="12"/>
  <c r="AR38" i="12"/>
  <c r="AS38" i="12"/>
  <c r="AT38" i="12"/>
  <c r="AU38" i="12"/>
  <c r="AV38" i="12"/>
  <c r="AY38" i="12"/>
  <c r="E39" i="12"/>
  <c r="E44" i="12" s="1"/>
  <c r="F39" i="12"/>
  <c r="F44" i="12" s="1"/>
  <c r="G39" i="12"/>
  <c r="H39" i="12"/>
  <c r="H44" i="12" s="1"/>
  <c r="J39" i="12"/>
  <c r="J44" i="12" s="1"/>
  <c r="K39" i="12"/>
  <c r="K44" i="12" s="1"/>
  <c r="L39" i="12"/>
  <c r="L44" i="12" s="1"/>
  <c r="M39" i="12"/>
  <c r="M44" i="12" s="1"/>
  <c r="N39" i="12"/>
  <c r="N44" i="12" s="1"/>
  <c r="Q39" i="12"/>
  <c r="Q44" i="12" s="1"/>
  <c r="R39" i="12"/>
  <c r="R44" i="12" s="1"/>
  <c r="S39" i="12"/>
  <c r="S44" i="12" s="1"/>
  <c r="T39" i="12"/>
  <c r="U39" i="12"/>
  <c r="U44" i="12" s="1"/>
  <c r="X39" i="12"/>
  <c r="X44" i="12" s="1"/>
  <c r="Y39" i="12"/>
  <c r="Y44" i="12" s="1"/>
  <c r="Z39" i="12"/>
  <c r="Z44" i="12" s="1"/>
  <c r="AA39" i="12"/>
  <c r="AB39" i="12"/>
  <c r="AB44" i="12" s="1"/>
  <c r="AE39" i="12"/>
  <c r="AE44" i="12" s="1"/>
  <c r="AF39" i="12"/>
  <c r="AF44" i="12" s="1"/>
  <c r="AG39" i="12"/>
  <c r="AH39" i="12"/>
  <c r="AI39" i="12"/>
  <c r="AI44" i="12" s="1"/>
  <c r="AL39" i="12"/>
  <c r="AL44" i="12" s="1"/>
  <c r="AM39" i="12"/>
  <c r="AM44" i="12" s="1"/>
  <c r="AN39" i="12"/>
  <c r="AN44" i="12" s="1"/>
  <c r="AO39" i="12"/>
  <c r="AO44" i="12" s="1"/>
  <c r="AP39" i="12"/>
  <c r="AP44" i="12" s="1"/>
  <c r="AR39" i="12"/>
  <c r="AR44" i="12" s="1"/>
  <c r="AS39" i="12"/>
  <c r="AS44" i="12" s="1"/>
  <c r="AT39" i="12"/>
  <c r="AT44" i="12" s="1"/>
  <c r="AU39" i="12"/>
  <c r="AV39" i="12"/>
  <c r="AV44" i="12" s="1"/>
  <c r="AY39" i="12"/>
  <c r="AY44" i="12" s="1"/>
  <c r="E41" i="12"/>
  <c r="E46" i="12" s="1"/>
  <c r="F41" i="12"/>
  <c r="F46" i="12" s="1"/>
  <c r="G41" i="12"/>
  <c r="H41" i="12"/>
  <c r="H46" i="12" s="1"/>
  <c r="J41" i="12"/>
  <c r="J46" i="12" s="1"/>
  <c r="K41" i="12"/>
  <c r="K46" i="12" s="1"/>
  <c r="L41" i="12"/>
  <c r="L46" i="12" s="1"/>
  <c r="M41" i="12"/>
  <c r="N41" i="12"/>
  <c r="N46" i="12" s="1"/>
  <c r="Q41" i="12"/>
  <c r="Q46" i="12" s="1"/>
  <c r="R41" i="12"/>
  <c r="R46" i="12" s="1"/>
  <c r="S41" i="12"/>
  <c r="T41" i="12"/>
  <c r="U41" i="12"/>
  <c r="U46" i="12" s="1"/>
  <c r="X41" i="12"/>
  <c r="X46" i="12" s="1"/>
  <c r="Y41" i="12"/>
  <c r="Y46" i="12" s="1"/>
  <c r="Z41" i="12"/>
  <c r="Z46" i="12" s="1"/>
  <c r="AA41" i="12"/>
  <c r="AB41" i="12"/>
  <c r="AB46" i="12" s="1"/>
  <c r="AE41" i="12"/>
  <c r="AE46" i="12" s="1"/>
  <c r="AF41" i="12"/>
  <c r="AF46" i="12" s="1"/>
  <c r="AG41" i="12"/>
  <c r="AG46" i="12" s="1"/>
  <c r="AH41" i="12"/>
  <c r="AI41" i="12"/>
  <c r="AI46" i="12" s="1"/>
  <c r="AL41" i="12"/>
  <c r="AL46" i="12" s="1"/>
  <c r="AM41" i="12"/>
  <c r="AM46" i="12" s="1"/>
  <c r="AN41" i="12"/>
  <c r="AN46" i="12" s="1"/>
  <c r="AO41" i="12"/>
  <c r="AO46" i="12" s="1"/>
  <c r="AP41" i="12"/>
  <c r="AP46" i="12" s="1"/>
  <c r="AR41" i="12"/>
  <c r="AR46" i="12" s="1"/>
  <c r="AS41" i="12"/>
  <c r="AS46" i="12" s="1"/>
  <c r="AT41" i="12"/>
  <c r="AT46" i="12" s="1"/>
  <c r="AU41" i="12"/>
  <c r="AV41" i="12"/>
  <c r="AV46" i="12" s="1"/>
  <c r="AY41" i="12"/>
  <c r="AY46" i="12" s="1"/>
  <c r="AG44" i="12"/>
  <c r="M46" i="12"/>
  <c r="S46" i="12"/>
  <c r="D41" i="12"/>
  <c r="D46" i="12" s="1"/>
  <c r="D39" i="12"/>
  <c r="D44" i="12" s="1"/>
  <c r="D38" i="12"/>
  <c r="G36" i="12"/>
  <c r="F36" i="12"/>
  <c r="E36" i="12"/>
  <c r="D36" i="12"/>
  <c r="D2" i="12"/>
  <c r="H40" i="12" l="1"/>
  <c r="H45" i="12" s="1"/>
  <c r="DO40" i="12"/>
  <c r="DO45" i="12" s="1"/>
  <c r="DO49" i="12" s="1"/>
  <c r="DH40" i="12"/>
  <c r="DH45" i="12" s="1"/>
  <c r="DH49" i="12" s="1"/>
  <c r="DR40" i="12"/>
  <c r="DR45" i="12" s="1"/>
  <c r="DR49" i="12" s="1"/>
  <c r="DN40" i="12"/>
  <c r="DN45" i="12" s="1"/>
  <c r="DN49" i="12" s="1"/>
  <c r="DK40" i="12"/>
  <c r="DK45" i="12" s="1"/>
  <c r="DK49" i="12" s="1"/>
  <c r="DG40" i="12"/>
  <c r="DG45" i="12" s="1"/>
  <c r="DG49" i="12" s="1"/>
  <c r="DA40" i="12"/>
  <c r="DA45" i="12" s="1"/>
  <c r="DA49" i="12" s="1"/>
  <c r="CU40" i="12"/>
  <c r="CU45" i="12" s="1"/>
  <c r="CU49" i="12" s="1"/>
  <c r="CL40" i="12"/>
  <c r="CL45" i="12" s="1"/>
  <c r="CL49" i="12" s="1"/>
  <c r="DP40" i="12"/>
  <c r="DP45" i="12" s="1"/>
  <c r="DP49" i="12" s="1"/>
  <c r="DI40" i="12"/>
  <c r="DI45" i="12" s="1"/>
  <c r="DI49" i="12" s="1"/>
  <c r="DC40" i="12"/>
  <c r="CS40" i="12"/>
  <c r="CS45" i="12" s="1"/>
  <c r="CS49" i="12" s="1"/>
  <c r="CV40" i="12"/>
  <c r="CM40" i="12"/>
  <c r="CM45" i="12" s="1"/>
  <c r="CM49" i="12" s="1"/>
  <c r="DQ40" i="12"/>
  <c r="DJ40" i="12"/>
  <c r="DD40" i="12"/>
  <c r="DD45" i="12" s="1"/>
  <c r="DD49" i="12" s="1"/>
  <c r="CZ40" i="12"/>
  <c r="CZ45" i="12" s="1"/>
  <c r="CZ49" i="12" s="1"/>
  <c r="CT40" i="12"/>
  <c r="CT45" i="12" s="1"/>
  <c r="CT49" i="12" s="1"/>
  <c r="CO40" i="12"/>
  <c r="CO45" i="12" s="1"/>
  <c r="CO49" i="12" s="1"/>
  <c r="CK40" i="12"/>
  <c r="CK45" i="12" s="1"/>
  <c r="CK49" i="12" s="1"/>
  <c r="CW40" i="12"/>
  <c r="CW45" i="12" s="1"/>
  <c r="CW49" i="12" s="1"/>
  <c r="CN40" i="12"/>
  <c r="DB40" i="12"/>
  <c r="DB45" i="12" s="1"/>
  <c r="DB49" i="12" s="1"/>
  <c r="AW39" i="12"/>
  <c r="BK46" i="12"/>
  <c r="AT40" i="12"/>
  <c r="AT45" i="12" s="1"/>
  <c r="Y40" i="12"/>
  <c r="Y45" i="12" s="1"/>
  <c r="BA40" i="12"/>
  <c r="BA45" i="12" s="1"/>
  <c r="AR40" i="12"/>
  <c r="AR45" i="12" s="1"/>
  <c r="AG40" i="12"/>
  <c r="AG45" i="12" s="1"/>
  <c r="U40" i="12"/>
  <c r="U45" i="12" s="1"/>
  <c r="K40" i="12"/>
  <c r="K45" i="12" s="1"/>
  <c r="A53" i="12"/>
  <c r="C59" i="12"/>
  <c r="C65" i="12" s="1"/>
  <c r="BK44" i="12"/>
  <c r="AI40" i="12"/>
  <c r="AI45" i="12" s="1"/>
  <c r="M40" i="12"/>
  <c r="AO40" i="12"/>
  <c r="AO45" i="12" s="1"/>
  <c r="AE40" i="12"/>
  <c r="AE45" i="12" s="1"/>
  <c r="S40" i="12"/>
  <c r="S45" i="12" s="1"/>
  <c r="A55" i="12"/>
  <c r="C61" i="12"/>
  <c r="C67" i="12" s="1"/>
  <c r="AZ40" i="12"/>
  <c r="AZ45" i="12" s="1"/>
  <c r="CF40" i="12"/>
  <c r="CE40" i="12"/>
  <c r="CE45" i="12" s="1"/>
  <c r="CD40" i="12"/>
  <c r="CD45" i="12" s="1"/>
  <c r="CG40" i="12"/>
  <c r="CG45" i="12" s="1"/>
  <c r="CC40" i="12"/>
  <c r="CC45" i="12" s="1"/>
  <c r="BS40" i="12"/>
  <c r="BS45" i="12" s="1"/>
  <c r="BO40" i="12"/>
  <c r="BO45" i="12" s="1"/>
  <c r="BY40" i="12"/>
  <c r="BY45" i="12" s="1"/>
  <c r="BX40" i="12"/>
  <c r="BX45" i="12" s="1"/>
  <c r="BR40" i="12"/>
  <c r="BQ40" i="12"/>
  <c r="BQ45" i="12" s="1"/>
  <c r="BP40" i="12"/>
  <c r="BP45" i="12" s="1"/>
  <c r="D40" i="12"/>
  <c r="D45" i="12" s="1"/>
  <c r="AV40" i="12"/>
  <c r="AM40" i="12"/>
  <c r="AM45" i="12" s="1"/>
  <c r="AA40" i="12"/>
  <c r="AA45" i="12" s="1"/>
  <c r="Q40" i="12"/>
  <c r="Q45" i="12" s="1"/>
  <c r="F40" i="12"/>
  <c r="F45" i="12" s="1"/>
  <c r="BC40" i="12"/>
  <c r="BC45" i="12" s="1"/>
  <c r="A54" i="12"/>
  <c r="C60" i="12"/>
  <c r="C66" i="12" s="1"/>
  <c r="AU40" i="12"/>
  <c r="AU45" i="12" s="1"/>
  <c r="AP40" i="12"/>
  <c r="AP45" i="12" s="1"/>
  <c r="AL40" i="12"/>
  <c r="AL45" i="12" s="1"/>
  <c r="AF40" i="12"/>
  <c r="AF45" i="12" s="1"/>
  <c r="Z40" i="12"/>
  <c r="Z45" i="12" s="1"/>
  <c r="T40" i="12"/>
  <c r="N40" i="12"/>
  <c r="N45" i="12" s="1"/>
  <c r="J40" i="12"/>
  <c r="J45" i="12" s="1"/>
  <c r="E40" i="12"/>
  <c r="E45" i="12" s="1"/>
  <c r="BH40" i="12"/>
  <c r="BF40" i="12"/>
  <c r="BG40" i="12"/>
  <c r="BI40" i="12"/>
  <c r="BJ40" i="12"/>
  <c r="AY40" i="12"/>
  <c r="AY45" i="12" s="1"/>
  <c r="AS40" i="12"/>
  <c r="AS45" i="12" s="1"/>
  <c r="AN40" i="12"/>
  <c r="AN45" i="12" s="1"/>
  <c r="AH40" i="12"/>
  <c r="AH45" i="12" s="1"/>
  <c r="AB40" i="12"/>
  <c r="AB45" i="12" s="1"/>
  <c r="X40" i="12"/>
  <c r="X45" i="12" s="1"/>
  <c r="R40" i="12"/>
  <c r="R45" i="12" s="1"/>
  <c r="L40" i="12"/>
  <c r="L45" i="12" s="1"/>
  <c r="G40" i="12"/>
  <c r="G45" i="12" s="1"/>
  <c r="I45" i="12" s="1"/>
  <c r="BB40" i="12"/>
  <c r="AW41" i="12"/>
  <c r="BB46" i="12"/>
  <c r="BD41" i="12"/>
  <c r="BB44" i="12"/>
  <c r="BD39" i="12"/>
  <c r="O44" i="12"/>
  <c r="AH46" i="12"/>
  <c r="AJ41" i="12"/>
  <c r="O46" i="12"/>
  <c r="AA46" i="12"/>
  <c r="AC41" i="12"/>
  <c r="O39" i="12"/>
  <c r="M45" i="12"/>
  <c r="AH44" i="12"/>
  <c r="AJ39" i="12"/>
  <c r="G44" i="12"/>
  <c r="I39" i="12"/>
  <c r="G46" i="12"/>
  <c r="I41" i="12"/>
  <c r="T44" i="12"/>
  <c r="V39" i="12"/>
  <c r="V40" i="12"/>
  <c r="AJ45" i="12"/>
  <c r="T45" i="12"/>
  <c r="T46" i="12"/>
  <c r="V41" i="12"/>
  <c r="O41" i="12"/>
  <c r="AJ40" i="12"/>
  <c r="AA44" i="12"/>
  <c r="AC39" i="12"/>
  <c r="E10" i="13"/>
  <c r="H10" i="13" s="1"/>
  <c r="AU46" i="12"/>
  <c r="AW46" i="12" s="1"/>
  <c r="AU44" i="12"/>
  <c r="AW44" i="12" s="1"/>
  <c r="E8" i="13"/>
  <c r="H8" i="13" s="1"/>
  <c r="C10" i="13"/>
  <c r="D8" i="13"/>
  <c r="D10" i="13"/>
  <c r="M48" i="11"/>
  <c r="J41" i="11"/>
  <c r="J46" i="11" s="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E39" i="11"/>
  <c r="F39" i="11"/>
  <c r="F44" i="11" s="1"/>
  <c r="G39" i="11"/>
  <c r="G44" i="11" s="1"/>
  <c r="G48" i="11" s="1"/>
  <c r="H39" i="11"/>
  <c r="I39" i="11"/>
  <c r="J39" i="11"/>
  <c r="J44" i="11" s="1"/>
  <c r="K39" i="11"/>
  <c r="K44" i="11" s="1"/>
  <c r="K48" i="11" s="1"/>
  <c r="L39" i="11"/>
  <c r="L44" i="11" s="1"/>
  <c r="M39" i="11"/>
  <c r="N39" i="11"/>
  <c r="N44" i="11" s="1"/>
  <c r="O39" i="11"/>
  <c r="O44" i="11" s="1"/>
  <c r="O48" i="11" s="1"/>
  <c r="P39" i="11"/>
  <c r="Q39" i="11"/>
  <c r="J40" i="11"/>
  <c r="J45" i="11" s="1"/>
  <c r="E41" i="11"/>
  <c r="E46" i="11" s="1"/>
  <c r="F41" i="11"/>
  <c r="G41" i="11"/>
  <c r="H41" i="11"/>
  <c r="H46" i="11" s="1"/>
  <c r="I41" i="11"/>
  <c r="I46" i="11" s="1"/>
  <c r="I50" i="11" s="1"/>
  <c r="K41" i="11"/>
  <c r="L41" i="11"/>
  <c r="L46" i="11" s="1"/>
  <c r="M41" i="11"/>
  <c r="M46" i="11" s="1"/>
  <c r="N41" i="11"/>
  <c r="N46" i="11" s="1"/>
  <c r="O41" i="11"/>
  <c r="P41" i="11"/>
  <c r="P46" i="11" s="1"/>
  <c r="Q41" i="11"/>
  <c r="Q46" i="11" s="1"/>
  <c r="E44" i="11"/>
  <c r="E48" i="11" s="1"/>
  <c r="H44" i="11"/>
  <c r="I44" i="11"/>
  <c r="M44" i="11"/>
  <c r="P44" i="11"/>
  <c r="P48" i="11" s="1"/>
  <c r="Q44" i="11"/>
  <c r="F46" i="11"/>
  <c r="F50" i="11" s="1"/>
  <c r="G46" i="11"/>
  <c r="K46" i="11"/>
  <c r="O46" i="11"/>
  <c r="D41" i="11"/>
  <c r="D46" i="11" s="1"/>
  <c r="Q50" i="11" s="1"/>
  <c r="D39" i="11"/>
  <c r="D44" i="11" s="1"/>
  <c r="Q48" i="11" s="1"/>
  <c r="D38" i="11"/>
  <c r="G36" i="11"/>
  <c r="F36" i="11"/>
  <c r="E36" i="11"/>
  <c r="D36" i="11"/>
  <c r="D2" i="11"/>
  <c r="E48" i="10"/>
  <c r="C50" i="10"/>
  <c r="C51" i="10"/>
  <c r="C49" i="10"/>
  <c r="H46" i="10"/>
  <c r="H44" i="10"/>
  <c r="O41" i="10"/>
  <c r="O46" i="10" s="1"/>
  <c r="N41" i="10"/>
  <c r="N46" i="10" s="1"/>
  <c r="M41" i="10"/>
  <c r="M46" i="10" s="1"/>
  <c r="L41" i="10"/>
  <c r="L46" i="10" s="1"/>
  <c r="K41" i="10"/>
  <c r="K46" i="10" s="1"/>
  <c r="J41" i="10"/>
  <c r="J46" i="10" s="1"/>
  <c r="H41" i="10"/>
  <c r="G41" i="10"/>
  <c r="G46" i="10" s="1"/>
  <c r="F41" i="10"/>
  <c r="F46" i="10" s="1"/>
  <c r="E41" i="10"/>
  <c r="E46" i="10" s="1"/>
  <c r="P40" i="10"/>
  <c r="P45" i="10" s="1"/>
  <c r="O39" i="10"/>
  <c r="O44" i="10" s="1"/>
  <c r="N39" i="10"/>
  <c r="N44" i="10" s="1"/>
  <c r="M39" i="10"/>
  <c r="M44" i="10" s="1"/>
  <c r="L39" i="10"/>
  <c r="L44" i="10" s="1"/>
  <c r="K39" i="10"/>
  <c r="K44" i="10" s="1"/>
  <c r="J39" i="10"/>
  <c r="J44" i="10" s="1"/>
  <c r="E49" i="10" s="1"/>
  <c r="H39" i="10"/>
  <c r="G39" i="10"/>
  <c r="G44" i="10" s="1"/>
  <c r="F39" i="10"/>
  <c r="F44" i="10" s="1"/>
  <c r="E39" i="10"/>
  <c r="E44" i="10" s="1"/>
  <c r="Q38" i="10"/>
  <c r="P38" i="10"/>
  <c r="O38" i="10"/>
  <c r="N38" i="10"/>
  <c r="M38" i="10"/>
  <c r="L38" i="10"/>
  <c r="K38" i="10"/>
  <c r="J38" i="10"/>
  <c r="H38" i="10"/>
  <c r="G38" i="10"/>
  <c r="F38" i="10"/>
  <c r="E38" i="10"/>
  <c r="D41" i="10"/>
  <c r="D46" i="10" s="1"/>
  <c r="D51" i="10" s="1"/>
  <c r="D39" i="10"/>
  <c r="D44" i="10" s="1"/>
  <c r="D49" i="10" s="1"/>
  <c r="D38" i="10"/>
  <c r="D48" i="10" s="1"/>
  <c r="N41" i="3"/>
  <c r="K41" i="3"/>
  <c r="Q7" i="10"/>
  <c r="Q8" i="10"/>
  <c r="Q9" i="10"/>
  <c r="Q41" i="10" s="1"/>
  <c r="Q46" i="10" s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6" i="10"/>
  <c r="Q39" i="10" s="1"/>
  <c r="Q44" i="10" s="1"/>
  <c r="P7" i="10"/>
  <c r="P8" i="10"/>
  <c r="P9" i="10"/>
  <c r="P41" i="10" s="1"/>
  <c r="P46" i="10" s="1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6" i="10"/>
  <c r="P39" i="10" s="1"/>
  <c r="P44" i="10" s="1"/>
  <c r="A125" i="7"/>
  <c r="A124" i="7"/>
  <c r="A123" i="7"/>
  <c r="C81" i="7"/>
  <c r="D81" i="7"/>
  <c r="E81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81" i="7"/>
  <c r="C80" i="7"/>
  <c r="D80" i="7"/>
  <c r="E80" i="7"/>
  <c r="B80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81" i="7"/>
  <c r="K40" i="7"/>
  <c r="K39" i="7"/>
  <c r="K38" i="7"/>
  <c r="W42" i="3"/>
  <c r="T42" i="3"/>
  <c r="G36" i="10"/>
  <c r="F36" i="10"/>
  <c r="E36" i="10"/>
  <c r="D36" i="10"/>
  <c r="D2" i="10"/>
  <c r="N3" i="9"/>
  <c r="U3" i="9"/>
  <c r="R5" i="9"/>
  <c r="O2" i="9"/>
  <c r="H11" i="9" s="1"/>
  <c r="W2" i="9"/>
  <c r="X2" i="9"/>
  <c r="Y2" i="9"/>
  <c r="Z2" i="9"/>
  <c r="AA2" i="9"/>
  <c r="AB2" i="9"/>
  <c r="AC2" i="9"/>
  <c r="D2" i="9"/>
  <c r="D11" i="9" s="1"/>
  <c r="I2" i="9"/>
  <c r="F11" i="9" s="1"/>
  <c r="C3" i="9"/>
  <c r="J3" i="9"/>
  <c r="K5" i="9"/>
  <c r="A3" i="9"/>
  <c r="A7" i="9" s="1"/>
  <c r="A12" i="9" s="1"/>
  <c r="A4" i="9"/>
  <c r="A8" i="9" s="1"/>
  <c r="A13" i="9" s="1"/>
  <c r="A5" i="9"/>
  <c r="A9" i="9" s="1"/>
  <c r="A14" i="9" s="1"/>
  <c r="A2" i="9"/>
  <c r="W38" i="8"/>
  <c r="N2" i="14" s="1"/>
  <c r="X38" i="8"/>
  <c r="O2" i="14" s="1"/>
  <c r="Y38" i="8"/>
  <c r="P2" i="14" s="1"/>
  <c r="Z38" i="8"/>
  <c r="AA38" i="8"/>
  <c r="R2" i="14" s="1"/>
  <c r="AB38" i="8"/>
  <c r="S2" i="14" s="1"/>
  <c r="AC38" i="8"/>
  <c r="T2" i="14" s="1"/>
  <c r="AD38" i="8"/>
  <c r="W39" i="8"/>
  <c r="X39" i="8"/>
  <c r="Y39" i="8"/>
  <c r="Z39" i="8"/>
  <c r="AA39" i="8"/>
  <c r="AB39" i="8"/>
  <c r="AC39" i="8"/>
  <c r="AC44" i="8" s="1"/>
  <c r="AD39" i="8"/>
  <c r="W41" i="8"/>
  <c r="X41" i="8"/>
  <c r="Y41" i="8"/>
  <c r="Z41" i="8"/>
  <c r="AA41" i="8"/>
  <c r="AB41" i="8"/>
  <c r="AC41" i="8"/>
  <c r="AD41" i="8"/>
  <c r="W44" i="8"/>
  <c r="N3" i="14" s="1"/>
  <c r="X44" i="8"/>
  <c r="Y44" i="8"/>
  <c r="Z44" i="8"/>
  <c r="Q3" i="14" s="1"/>
  <c r="AA44" i="8"/>
  <c r="R3" i="14" s="1"/>
  <c r="AB44" i="8"/>
  <c r="AD44" i="8"/>
  <c r="U3" i="14" s="1"/>
  <c r="W46" i="8"/>
  <c r="N5" i="14" s="1"/>
  <c r="X46" i="8"/>
  <c r="O5" i="14" s="1"/>
  <c r="Y46" i="8"/>
  <c r="P5" i="14" s="1"/>
  <c r="Z46" i="8"/>
  <c r="AA46" i="8"/>
  <c r="R5" i="14" s="1"/>
  <c r="AB46" i="8"/>
  <c r="S5" i="14" s="1"/>
  <c r="AC46" i="8"/>
  <c r="T5" i="14" s="1"/>
  <c r="AD46" i="8"/>
  <c r="O38" i="8"/>
  <c r="J2" i="14" s="1"/>
  <c r="P38" i="8"/>
  <c r="Q38" i="8"/>
  <c r="R38" i="8"/>
  <c r="S38" i="8"/>
  <c r="T38" i="8"/>
  <c r="U38" i="8"/>
  <c r="L2" i="14" s="1"/>
  <c r="V38" i="8"/>
  <c r="M2" i="14" s="1"/>
  <c r="O39" i="8"/>
  <c r="P39" i="8"/>
  <c r="Q39" i="8"/>
  <c r="R39" i="8"/>
  <c r="S39" i="8"/>
  <c r="T39" i="8"/>
  <c r="U39" i="8"/>
  <c r="V39" i="8"/>
  <c r="O41" i="8"/>
  <c r="P41" i="8"/>
  <c r="Q41" i="8"/>
  <c r="R41" i="8"/>
  <c r="S41" i="8"/>
  <c r="T41" i="8"/>
  <c r="U41" i="8"/>
  <c r="V41" i="8"/>
  <c r="O44" i="8"/>
  <c r="J3" i="14" s="1"/>
  <c r="P44" i="8"/>
  <c r="Q44" i="8"/>
  <c r="R44" i="8"/>
  <c r="S44" i="8"/>
  <c r="T44" i="8"/>
  <c r="K3" i="14" s="1"/>
  <c r="U44" i="8"/>
  <c r="L3" i="14" s="1"/>
  <c r="V44" i="8"/>
  <c r="O46" i="8"/>
  <c r="J5" i="14" s="1"/>
  <c r="P46" i="8"/>
  <c r="Q46" i="8"/>
  <c r="R46" i="8"/>
  <c r="S46" i="8"/>
  <c r="T46" i="8"/>
  <c r="K5" i="14" s="1"/>
  <c r="U46" i="8"/>
  <c r="L5" i="14" s="1"/>
  <c r="V46" i="8"/>
  <c r="I38" i="8"/>
  <c r="D2" i="14" s="1"/>
  <c r="J38" i="8"/>
  <c r="E2" i="14" s="1"/>
  <c r="K38" i="8"/>
  <c r="F2" i="14" s="1"/>
  <c r="L38" i="8"/>
  <c r="M38" i="8"/>
  <c r="H2" i="14" s="1"/>
  <c r="N38" i="8"/>
  <c r="I2" i="14" s="1"/>
  <c r="I39" i="8"/>
  <c r="I44" i="8" s="1"/>
  <c r="J39" i="8"/>
  <c r="K39" i="8"/>
  <c r="K44" i="8" s="1"/>
  <c r="L39" i="8"/>
  <c r="L44" i="8" s="1"/>
  <c r="G3" i="14" s="1"/>
  <c r="M39" i="8"/>
  <c r="M44" i="8" s="1"/>
  <c r="N39" i="8"/>
  <c r="I41" i="8"/>
  <c r="I46" i="8" s="1"/>
  <c r="J41" i="8"/>
  <c r="K41" i="8"/>
  <c r="K46" i="8" s="1"/>
  <c r="L41" i="8"/>
  <c r="L46" i="8" s="1"/>
  <c r="G5" i="14" s="1"/>
  <c r="M41" i="8"/>
  <c r="M46" i="8" s="1"/>
  <c r="N41" i="8"/>
  <c r="J44" i="8"/>
  <c r="E3" i="14" s="1"/>
  <c r="N44" i="8"/>
  <c r="I3" i="14" s="1"/>
  <c r="J46" i="8"/>
  <c r="E5" i="14" s="1"/>
  <c r="N46" i="8"/>
  <c r="I5" i="14" s="1"/>
  <c r="H41" i="8"/>
  <c r="H46" i="8" s="1"/>
  <c r="G41" i="8"/>
  <c r="G46" i="8" s="1"/>
  <c r="F41" i="8"/>
  <c r="F46" i="8" s="1"/>
  <c r="E41" i="8"/>
  <c r="E46" i="8" s="1"/>
  <c r="C5" i="14" s="1"/>
  <c r="D41" i="8"/>
  <c r="D46" i="8" s="1"/>
  <c r="H39" i="8"/>
  <c r="H44" i="8" s="1"/>
  <c r="G39" i="8"/>
  <c r="G44" i="8" s="1"/>
  <c r="F39" i="8"/>
  <c r="F44" i="8" s="1"/>
  <c r="E39" i="8"/>
  <c r="E44" i="8" s="1"/>
  <c r="C3" i="14" s="1"/>
  <c r="D39" i="8"/>
  <c r="D44" i="8" s="1"/>
  <c r="H38" i="8"/>
  <c r="G38" i="8"/>
  <c r="F38" i="8"/>
  <c r="E38" i="8"/>
  <c r="D38" i="8"/>
  <c r="G36" i="8"/>
  <c r="F36" i="8"/>
  <c r="E36" i="8"/>
  <c r="D36" i="8"/>
  <c r="D2" i="8"/>
  <c r="Z40" i="8" s="1"/>
  <c r="Z45" i="8" s="1"/>
  <c r="P6" i="3"/>
  <c r="I40" i="12" l="1"/>
  <c r="AC40" i="12"/>
  <c r="CV45" i="12"/>
  <c r="CX40" i="12"/>
  <c r="DL40" i="12"/>
  <c r="DJ45" i="12"/>
  <c r="CN45" i="12"/>
  <c r="CP40" i="12"/>
  <c r="DS40" i="12"/>
  <c r="DQ45" i="12"/>
  <c r="DC45" i="12"/>
  <c r="DE40" i="12"/>
  <c r="Q4" i="14"/>
  <c r="Q4" i="9"/>
  <c r="F3" i="14"/>
  <c r="F3" i="9"/>
  <c r="T3" i="14"/>
  <c r="T3" i="9"/>
  <c r="F5" i="14"/>
  <c r="F5" i="9"/>
  <c r="F9" i="9" s="1"/>
  <c r="E14" i="9" s="1"/>
  <c r="E28" i="14"/>
  <c r="E21" i="14"/>
  <c r="I19" i="14"/>
  <c r="I26" i="14" s="1"/>
  <c r="D5" i="14"/>
  <c r="D5" i="9"/>
  <c r="D3" i="14"/>
  <c r="D3" i="9"/>
  <c r="U40" i="8"/>
  <c r="U45" i="8" s="1"/>
  <c r="Q40" i="8"/>
  <c r="Q45" i="8" s="1"/>
  <c r="L25" i="14"/>
  <c r="L18" i="14"/>
  <c r="T28" i="14"/>
  <c r="T21" i="14"/>
  <c r="E5" i="9"/>
  <c r="N50" i="11"/>
  <c r="E50" i="11"/>
  <c r="M50" i="11"/>
  <c r="BT40" i="12"/>
  <c r="BR45" i="12"/>
  <c r="G21" i="14"/>
  <c r="G28" i="14"/>
  <c r="N40" i="8"/>
  <c r="N45" i="8" s="1"/>
  <c r="J40" i="8"/>
  <c r="J45" i="8" s="1"/>
  <c r="G19" i="14"/>
  <c r="G26" i="14"/>
  <c r="F11" i="14"/>
  <c r="I18" i="14"/>
  <c r="I25" i="14"/>
  <c r="E18" i="14"/>
  <c r="E25" i="14"/>
  <c r="K21" i="14"/>
  <c r="K28" i="14"/>
  <c r="K19" i="14"/>
  <c r="K26" i="14"/>
  <c r="T40" i="8"/>
  <c r="T45" i="8" s="1"/>
  <c r="P40" i="8"/>
  <c r="P45" i="8" s="1"/>
  <c r="K2" i="14"/>
  <c r="K2" i="9"/>
  <c r="S28" i="14"/>
  <c r="S21" i="14"/>
  <c r="O21" i="14"/>
  <c r="O28" i="14"/>
  <c r="S3" i="14"/>
  <c r="S3" i="9"/>
  <c r="O3" i="14"/>
  <c r="O3" i="9"/>
  <c r="AB40" i="8"/>
  <c r="AB45" i="8" s="1"/>
  <c r="X40" i="8"/>
  <c r="X45" i="8" s="1"/>
  <c r="S25" i="14"/>
  <c r="S18" i="14"/>
  <c r="H11" i="14"/>
  <c r="O25" i="14"/>
  <c r="O18" i="14"/>
  <c r="J5" i="9"/>
  <c r="C5" i="9"/>
  <c r="C9" i="9" s="1"/>
  <c r="C14" i="9" s="1"/>
  <c r="G3" i="9"/>
  <c r="M2" i="9"/>
  <c r="H2" i="9"/>
  <c r="S2" i="9"/>
  <c r="N2" i="9"/>
  <c r="G11" i="9" s="1"/>
  <c r="O5" i="9"/>
  <c r="I3" i="9"/>
  <c r="P5" i="9"/>
  <c r="P9" i="9" s="1"/>
  <c r="I14" i="9" s="1"/>
  <c r="Q40" i="10"/>
  <c r="Q45" i="10" s="1"/>
  <c r="G40" i="11"/>
  <c r="G45" i="11" s="1"/>
  <c r="K40" i="11"/>
  <c r="K45" i="11" s="1"/>
  <c r="O40" i="11"/>
  <c r="O45" i="11" s="1"/>
  <c r="O49" i="11" s="1"/>
  <c r="D40" i="11"/>
  <c r="D45" i="11" s="1"/>
  <c r="H40" i="11"/>
  <c r="H45" i="11" s="1"/>
  <c r="H49" i="11" s="1"/>
  <c r="L40" i="11"/>
  <c r="L45" i="11" s="1"/>
  <c r="P40" i="11"/>
  <c r="P45" i="11" s="1"/>
  <c r="P49" i="11" s="1"/>
  <c r="E40" i="11"/>
  <c r="E45" i="11" s="1"/>
  <c r="E49" i="11" s="1"/>
  <c r="I40" i="11"/>
  <c r="I45" i="11" s="1"/>
  <c r="I49" i="11" s="1"/>
  <c r="M40" i="11"/>
  <c r="M45" i="11" s="1"/>
  <c r="Q40" i="11"/>
  <c r="Q45" i="11" s="1"/>
  <c r="Q49" i="11" s="1"/>
  <c r="O50" i="11"/>
  <c r="H50" i="11"/>
  <c r="N40" i="11"/>
  <c r="N45" i="11" s="1"/>
  <c r="L48" i="11"/>
  <c r="G40" i="8"/>
  <c r="G45" i="8" s="1"/>
  <c r="H5" i="14"/>
  <c r="H5" i="9"/>
  <c r="K40" i="8"/>
  <c r="K45" i="8" s="1"/>
  <c r="F18" i="14"/>
  <c r="E11" i="14"/>
  <c r="F25" i="14"/>
  <c r="L19" i="14"/>
  <c r="L26" i="14"/>
  <c r="P21" i="14"/>
  <c r="P28" i="14"/>
  <c r="P3" i="14"/>
  <c r="P3" i="9"/>
  <c r="AC40" i="8"/>
  <c r="AC45" i="8" s="1"/>
  <c r="Y40" i="8"/>
  <c r="Y45" i="8" s="1"/>
  <c r="P18" i="14"/>
  <c r="P25" i="14"/>
  <c r="I11" i="14"/>
  <c r="C2" i="14"/>
  <c r="C2" i="9"/>
  <c r="C11" i="9" s="1"/>
  <c r="I21" i="14"/>
  <c r="I28" i="14" s="1"/>
  <c r="D11" i="14"/>
  <c r="D25" i="14"/>
  <c r="D18" i="14"/>
  <c r="J28" i="14"/>
  <c r="J21" i="14"/>
  <c r="J26" i="14"/>
  <c r="J19" i="14"/>
  <c r="S40" i="8"/>
  <c r="S45" i="8" s="1"/>
  <c r="O40" i="8"/>
  <c r="O45" i="8" s="1"/>
  <c r="J25" i="14"/>
  <c r="J18" i="14"/>
  <c r="R21" i="14"/>
  <c r="R28" i="14"/>
  <c r="N28" i="14"/>
  <c r="N21" i="14"/>
  <c r="R19" i="14"/>
  <c r="R26" i="14"/>
  <c r="N26" i="14"/>
  <c r="N19" i="14"/>
  <c r="AA40" i="8"/>
  <c r="AA45" i="8" s="1"/>
  <c r="W40" i="8"/>
  <c r="W45" i="8" s="1"/>
  <c r="R18" i="14"/>
  <c r="R25" i="14"/>
  <c r="G11" i="14"/>
  <c r="N18" i="14"/>
  <c r="N25" i="14"/>
  <c r="G5" i="9"/>
  <c r="L3" i="9"/>
  <c r="V3" i="9" s="1"/>
  <c r="L2" i="9"/>
  <c r="F2" i="9"/>
  <c r="E11" i="9" s="1"/>
  <c r="R2" i="9"/>
  <c r="T5" i="9"/>
  <c r="T9" i="9" s="1"/>
  <c r="N5" i="9"/>
  <c r="R3" i="9"/>
  <c r="O40" i="10"/>
  <c r="O45" i="10" s="1"/>
  <c r="K40" i="10"/>
  <c r="K45" i="10" s="1"/>
  <c r="F40" i="10"/>
  <c r="F45" i="10" s="1"/>
  <c r="N40" i="10"/>
  <c r="N45" i="10" s="1"/>
  <c r="J40" i="10"/>
  <c r="J45" i="10" s="1"/>
  <c r="E50" i="10" s="1"/>
  <c r="E40" i="10"/>
  <c r="E45" i="10" s="1"/>
  <c r="M40" i="10"/>
  <c r="M45" i="10" s="1"/>
  <c r="H40" i="10"/>
  <c r="H45" i="10" s="1"/>
  <c r="D40" i="10"/>
  <c r="D45" i="10" s="1"/>
  <c r="D50" i="10" s="1"/>
  <c r="G40" i="10"/>
  <c r="G45" i="10" s="1"/>
  <c r="K50" i="11"/>
  <c r="P50" i="11"/>
  <c r="L50" i="11"/>
  <c r="J49" i="11"/>
  <c r="J50" i="11"/>
  <c r="BD40" i="12"/>
  <c r="BB45" i="12"/>
  <c r="BD45" i="12" s="1"/>
  <c r="AV45" i="12"/>
  <c r="AW40" i="12"/>
  <c r="H3" i="14"/>
  <c r="H3" i="9"/>
  <c r="L21" i="14"/>
  <c r="L28" i="14"/>
  <c r="T25" i="14"/>
  <c r="T18" i="14"/>
  <c r="T2" i="9"/>
  <c r="B5" i="14"/>
  <c r="D34" i="14" s="1"/>
  <c r="C21" i="14"/>
  <c r="C28" i="14"/>
  <c r="E26" i="14"/>
  <c r="E19" i="14"/>
  <c r="M40" i="8"/>
  <c r="M45" i="8" s="1"/>
  <c r="I40" i="8"/>
  <c r="I45" i="8" s="1"/>
  <c r="H18" i="14"/>
  <c r="H25" i="14"/>
  <c r="C19" i="14"/>
  <c r="C26" i="14"/>
  <c r="F40" i="8"/>
  <c r="F45" i="8" s="1"/>
  <c r="L40" i="8"/>
  <c r="L45" i="8" s="1"/>
  <c r="G2" i="14"/>
  <c r="G2" i="9"/>
  <c r="M5" i="14"/>
  <c r="M5" i="9"/>
  <c r="V5" i="9" s="1"/>
  <c r="M3" i="14"/>
  <c r="M3" i="9"/>
  <c r="V40" i="8"/>
  <c r="V45" i="8" s="1"/>
  <c r="R40" i="8"/>
  <c r="R45" i="8" s="1"/>
  <c r="M18" i="14"/>
  <c r="M25" i="14"/>
  <c r="U5" i="14"/>
  <c r="U5" i="9"/>
  <c r="U9" i="9" s="1"/>
  <c r="Q5" i="14"/>
  <c r="Q5" i="9"/>
  <c r="U19" i="14"/>
  <c r="U26" i="14"/>
  <c r="Q19" i="14"/>
  <c r="Q26" i="14"/>
  <c r="AD40" i="8"/>
  <c r="AD45" i="8" s="1"/>
  <c r="U2" i="14"/>
  <c r="U2" i="9"/>
  <c r="Q2" i="14"/>
  <c r="Q2" i="9"/>
  <c r="J11" i="9" s="1"/>
  <c r="L5" i="9"/>
  <c r="K3" i="9"/>
  <c r="E3" i="9"/>
  <c r="E7" i="9" s="1"/>
  <c r="J2" i="9"/>
  <c r="E2" i="9"/>
  <c r="P2" i="9"/>
  <c r="I11" i="9" s="1"/>
  <c r="S5" i="9"/>
  <c r="S9" i="9" s="1"/>
  <c r="Q3" i="9"/>
  <c r="I5" i="9"/>
  <c r="L40" i="10"/>
  <c r="L45" i="10" s="1"/>
  <c r="F48" i="11"/>
  <c r="J48" i="11"/>
  <c r="N48" i="11"/>
  <c r="G50" i="11"/>
  <c r="H48" i="11"/>
  <c r="F40" i="11"/>
  <c r="F45" i="11" s="1"/>
  <c r="F49" i="11" s="1"/>
  <c r="I48" i="11"/>
  <c r="CF45" i="12"/>
  <c r="CH40" i="12"/>
  <c r="AW45" i="12"/>
  <c r="E4" i="13"/>
  <c r="BK40" i="12"/>
  <c r="BI45" i="12"/>
  <c r="B4" i="13"/>
  <c r="BF45" i="12"/>
  <c r="D54" i="12"/>
  <c r="O40" i="12"/>
  <c r="C4" i="13"/>
  <c r="BG45" i="12"/>
  <c r="D4" i="13"/>
  <c r="BH45" i="12"/>
  <c r="B55" i="12"/>
  <c r="B53" i="12"/>
  <c r="BJ45" i="12"/>
  <c r="F4" i="13"/>
  <c r="BD46" i="12"/>
  <c r="BD44" i="12"/>
  <c r="AC44" i="12"/>
  <c r="AC45" i="12"/>
  <c r="I44" i="12"/>
  <c r="O45" i="12"/>
  <c r="AC46" i="12"/>
  <c r="AJ46" i="12"/>
  <c r="V46" i="12"/>
  <c r="V45" i="12"/>
  <c r="V44" i="12"/>
  <c r="I46" i="12"/>
  <c r="AJ44" i="12"/>
  <c r="AU48" i="12"/>
  <c r="B5" i="9"/>
  <c r="D9" i="9" s="1"/>
  <c r="D14" i="9" s="1"/>
  <c r="B3" i="9"/>
  <c r="F7" i="9" s="1"/>
  <c r="E12" i="9" s="1"/>
  <c r="K9" i="9"/>
  <c r="M9" i="9"/>
  <c r="J9" i="9"/>
  <c r="F14" i="9"/>
  <c r="L7" i="9"/>
  <c r="L9" i="9"/>
  <c r="D40" i="8"/>
  <c r="D45" i="8" s="1"/>
  <c r="H40" i="8"/>
  <c r="H45" i="8" s="1"/>
  <c r="E40" i="8"/>
  <c r="E45" i="8" s="1"/>
  <c r="Q38" i="3"/>
  <c r="P38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N38" i="3"/>
  <c r="M38" i="3"/>
  <c r="L38" i="3"/>
  <c r="K38" i="3"/>
  <c r="J38" i="3"/>
  <c r="J41" i="3"/>
  <c r="J46" i="3" s="1"/>
  <c r="J39" i="3"/>
  <c r="J44" i="3" s="1"/>
  <c r="K46" i="3"/>
  <c r="K39" i="3"/>
  <c r="K44" i="3" s="1"/>
  <c r="N46" i="3"/>
  <c r="M41" i="3"/>
  <c r="M46" i="3" s="1"/>
  <c r="L41" i="3"/>
  <c r="L46" i="3" s="1"/>
  <c r="N39" i="3"/>
  <c r="N44" i="3" s="1"/>
  <c r="M39" i="3"/>
  <c r="M44" i="3" s="1"/>
  <c r="BB48" i="12" s="1"/>
  <c r="L39" i="3"/>
  <c r="L44" i="3" s="1"/>
  <c r="H38" i="3"/>
  <c r="G38" i="3"/>
  <c r="F38" i="3"/>
  <c r="E38" i="3"/>
  <c r="D38" i="3"/>
  <c r="D41" i="3"/>
  <c r="D46" i="3" s="1"/>
  <c r="D39" i="3"/>
  <c r="D44" i="3" s="1"/>
  <c r="H39" i="3"/>
  <c r="H44" i="3" s="1"/>
  <c r="DC49" i="12" l="1"/>
  <c r="DE45" i="12"/>
  <c r="DE49" i="12" s="1"/>
  <c r="CP45" i="12"/>
  <c r="CP49" i="12" s="1"/>
  <c r="CN49" i="12"/>
  <c r="CV49" i="12"/>
  <c r="CX45" i="12"/>
  <c r="CX49" i="12" s="1"/>
  <c r="DQ49" i="12"/>
  <c r="DS45" i="12"/>
  <c r="DS49" i="12" s="1"/>
  <c r="DJ49" i="12"/>
  <c r="DL45" i="12"/>
  <c r="DL49" i="12" s="1"/>
  <c r="U48" i="12"/>
  <c r="AP48" i="12"/>
  <c r="N48" i="12"/>
  <c r="AB48" i="12"/>
  <c r="AI48" i="12"/>
  <c r="H48" i="12"/>
  <c r="CC48" i="12"/>
  <c r="BO48" i="12"/>
  <c r="E65" i="12"/>
  <c r="J32" i="14"/>
  <c r="BF48" i="12"/>
  <c r="G65" i="12" s="1"/>
  <c r="AR48" i="12"/>
  <c r="AY48" i="12"/>
  <c r="C123" i="7"/>
  <c r="M38" i="7"/>
  <c r="U45" i="3"/>
  <c r="J11" i="14"/>
  <c r="Q18" i="14"/>
  <c r="Q25" i="14"/>
  <c r="P26" i="14"/>
  <c r="P19" i="14"/>
  <c r="P7" i="14"/>
  <c r="I12" i="14" s="1"/>
  <c r="H21" i="14"/>
  <c r="H28" i="14"/>
  <c r="H9" i="14"/>
  <c r="K25" i="14"/>
  <c r="K18" i="14"/>
  <c r="BT45" i="12"/>
  <c r="T9" i="14"/>
  <c r="D19" i="14"/>
  <c r="D26" i="14"/>
  <c r="V3" i="14"/>
  <c r="D7" i="14"/>
  <c r="D12" i="14" s="1"/>
  <c r="CG50" i="12"/>
  <c r="BS50" i="12"/>
  <c r="BJ50" i="12"/>
  <c r="AV50" i="12"/>
  <c r="BC50" i="12"/>
  <c r="AC50" i="12"/>
  <c r="CH45" i="12"/>
  <c r="U9" i="14"/>
  <c r="U21" i="14"/>
  <c r="B21" i="14" s="1"/>
  <c r="U28" i="14"/>
  <c r="M4" i="14"/>
  <c r="M4" i="9"/>
  <c r="M9" i="14"/>
  <c r="M21" i="14"/>
  <c r="M28" i="14"/>
  <c r="B3" i="14"/>
  <c r="H4" i="14"/>
  <c r="H4" i="9"/>
  <c r="C9" i="14"/>
  <c r="N9" i="14"/>
  <c r="G14" i="14" s="1"/>
  <c r="C11" i="14"/>
  <c r="C25" i="14"/>
  <c r="C18" i="14"/>
  <c r="P4" i="14"/>
  <c r="P4" i="9"/>
  <c r="P9" i="14"/>
  <c r="I14" i="14" s="1"/>
  <c r="N49" i="11"/>
  <c r="M49" i="11"/>
  <c r="L49" i="11"/>
  <c r="K49" i="11"/>
  <c r="O9" i="14"/>
  <c r="H14" i="14" s="1"/>
  <c r="E4" i="14"/>
  <c r="E4" i="9"/>
  <c r="F9" i="14"/>
  <c r="E14" i="14" s="1"/>
  <c r="F28" i="14"/>
  <c r="F21" i="14"/>
  <c r="F7" i="14"/>
  <c r="E12" i="14" s="1"/>
  <c r="F19" i="14"/>
  <c r="F26" i="14"/>
  <c r="D4" i="14"/>
  <c r="D4" i="9"/>
  <c r="L9" i="14"/>
  <c r="R4" i="14"/>
  <c r="R4" i="9"/>
  <c r="R9" i="14"/>
  <c r="S26" i="14"/>
  <c r="S19" i="14"/>
  <c r="S7" i="14"/>
  <c r="E59" i="12"/>
  <c r="X48" i="12"/>
  <c r="D48" i="12"/>
  <c r="G59" i="12" s="1"/>
  <c r="Q48" i="12"/>
  <c r="AL48" i="12"/>
  <c r="T45" i="3"/>
  <c r="J48" i="12"/>
  <c r="I59" i="12" s="1"/>
  <c r="AE48" i="12"/>
  <c r="K59" i="12" s="1"/>
  <c r="L38" i="7"/>
  <c r="B123" i="7"/>
  <c r="CC50" i="12"/>
  <c r="BO50" i="12"/>
  <c r="E67" i="12"/>
  <c r="J34" i="14"/>
  <c r="K34" i="14" s="1"/>
  <c r="AR50" i="12"/>
  <c r="AY50" i="12"/>
  <c r="M40" i="7"/>
  <c r="BF50" i="12"/>
  <c r="G67" i="12" s="1"/>
  <c r="AA45" i="3"/>
  <c r="C125" i="7"/>
  <c r="R7" i="9"/>
  <c r="I7" i="9"/>
  <c r="F12" i="9" s="1"/>
  <c r="O9" i="9"/>
  <c r="H14" i="9" s="1"/>
  <c r="Q9" i="9"/>
  <c r="J14" i="9" s="1"/>
  <c r="CG48" i="12"/>
  <c r="BS48" i="12"/>
  <c r="BJ48" i="12"/>
  <c r="BC48" i="12"/>
  <c r="AV48" i="12"/>
  <c r="CD48" i="12"/>
  <c r="BP48" i="12"/>
  <c r="BG48" i="12"/>
  <c r="AZ48" i="12"/>
  <c r="AS48" i="12"/>
  <c r="M37" i="7"/>
  <c r="C122" i="7"/>
  <c r="Q41" i="3"/>
  <c r="I5" i="13" s="1"/>
  <c r="C4" i="14"/>
  <c r="C4" i="9"/>
  <c r="O7" i="9"/>
  <c r="H12" i="9" s="1"/>
  <c r="U7" i="9"/>
  <c r="U18" i="14"/>
  <c r="U25" i="14"/>
  <c r="J9" i="14"/>
  <c r="T4" i="14"/>
  <c r="T4" i="9"/>
  <c r="F4" i="14"/>
  <c r="F4" i="9"/>
  <c r="G49" i="11"/>
  <c r="O19" i="14"/>
  <c r="O26" i="14"/>
  <c r="O7" i="14"/>
  <c r="H12" i="14" s="1"/>
  <c r="K4" i="14"/>
  <c r="K4" i="9"/>
  <c r="K9" i="14"/>
  <c r="I4" i="14"/>
  <c r="I4" i="9"/>
  <c r="L4" i="14"/>
  <c r="L4" i="9"/>
  <c r="D21" i="14"/>
  <c r="D28" i="14"/>
  <c r="B28" i="14" s="1"/>
  <c r="D9" i="14"/>
  <c r="D14" i="14" s="1"/>
  <c r="V5" i="14"/>
  <c r="CE48" i="12"/>
  <c r="BQ48" i="12"/>
  <c r="AT48" i="12"/>
  <c r="BH48" i="12"/>
  <c r="BA48" i="12"/>
  <c r="CF50" i="12"/>
  <c r="BR50" i="12"/>
  <c r="BI50" i="12"/>
  <c r="BB50" i="12"/>
  <c r="G4" i="14"/>
  <c r="G4" i="9"/>
  <c r="B19" i="14"/>
  <c r="H19" i="14"/>
  <c r="H26" i="14"/>
  <c r="H7" i="14"/>
  <c r="S4" i="14"/>
  <c r="S4" i="9"/>
  <c r="S9" i="14"/>
  <c r="CF48" i="12"/>
  <c r="BR48" i="12"/>
  <c r="BI48" i="12"/>
  <c r="I2" i="13"/>
  <c r="E52" i="12"/>
  <c r="N9" i="9"/>
  <c r="G14" i="9" s="1"/>
  <c r="R9" i="9"/>
  <c r="E61" i="12"/>
  <c r="D50" i="12"/>
  <c r="G61" i="12" s="1"/>
  <c r="Q50" i="12"/>
  <c r="AE50" i="12"/>
  <c r="K61" i="12" s="1"/>
  <c r="AL50" i="12"/>
  <c r="J50" i="12"/>
  <c r="I61" i="12" s="1"/>
  <c r="Z45" i="3"/>
  <c r="X50" i="12"/>
  <c r="L40" i="7"/>
  <c r="B125" i="7"/>
  <c r="B122" i="7"/>
  <c r="L37" i="7"/>
  <c r="CE50" i="12"/>
  <c r="BQ50" i="12"/>
  <c r="BA50" i="12"/>
  <c r="AT50" i="12"/>
  <c r="BH50" i="12"/>
  <c r="CD50" i="12"/>
  <c r="BP50" i="12"/>
  <c r="AZ50" i="12"/>
  <c r="AS50" i="12"/>
  <c r="BG50" i="12"/>
  <c r="H9" i="9"/>
  <c r="E9" i="9"/>
  <c r="G9" i="9"/>
  <c r="AU50" i="12"/>
  <c r="U4" i="14"/>
  <c r="U4" i="9"/>
  <c r="Q9" i="14"/>
  <c r="J14" i="14" s="1"/>
  <c r="Q21" i="14"/>
  <c r="Q28" i="14"/>
  <c r="M7" i="14"/>
  <c r="M26" i="14"/>
  <c r="M19" i="14"/>
  <c r="G25" i="14"/>
  <c r="G18" i="14"/>
  <c r="N4" i="14"/>
  <c r="N4" i="9"/>
  <c r="J4" i="14"/>
  <c r="J4" i="9"/>
  <c r="I9" i="14"/>
  <c r="F14" i="14" s="1"/>
  <c r="O4" i="14"/>
  <c r="O4" i="9"/>
  <c r="G9" i="14"/>
  <c r="E9" i="14"/>
  <c r="T19" i="14"/>
  <c r="T26" i="14"/>
  <c r="B26" i="14" s="1"/>
  <c r="T7" i="14"/>
  <c r="Q27" i="14"/>
  <c r="Q20" i="14"/>
  <c r="D53" i="12"/>
  <c r="C9" i="13"/>
  <c r="BK45" i="12"/>
  <c r="E9" i="13"/>
  <c r="F9" i="13"/>
  <c r="B9" i="13"/>
  <c r="I50" i="12"/>
  <c r="F61" i="12" s="1"/>
  <c r="D55" i="12"/>
  <c r="B54" i="12"/>
  <c r="D9" i="13"/>
  <c r="N7" i="9"/>
  <c r="G12" i="9" s="1"/>
  <c r="S7" i="9"/>
  <c r="Q7" i="9"/>
  <c r="J12" i="9" s="1"/>
  <c r="M7" i="9"/>
  <c r="V9" i="9"/>
  <c r="K7" i="9"/>
  <c r="T7" i="9"/>
  <c r="P7" i="9"/>
  <c r="J7" i="9"/>
  <c r="G7" i="9"/>
  <c r="C7" i="9"/>
  <c r="C12" i="9" s="1"/>
  <c r="D7" i="9"/>
  <c r="D12" i="9" s="1"/>
  <c r="H7" i="9"/>
  <c r="P39" i="3"/>
  <c r="P44" i="3" s="1"/>
  <c r="P41" i="3"/>
  <c r="P46" i="3" s="1"/>
  <c r="V50" i="12" s="1"/>
  <c r="Q39" i="3"/>
  <c r="Q46" i="3"/>
  <c r="BD50" i="12" s="1"/>
  <c r="G41" i="3"/>
  <c r="G46" i="3" s="1"/>
  <c r="G39" i="3"/>
  <c r="G44" i="3" s="1"/>
  <c r="F39" i="3"/>
  <c r="F44" i="3" s="1"/>
  <c r="H41" i="3"/>
  <c r="H46" i="3" s="1"/>
  <c r="F41" i="3"/>
  <c r="F46" i="3" s="1"/>
  <c r="E41" i="3"/>
  <c r="E46" i="3" s="1"/>
  <c r="E39" i="3"/>
  <c r="E44" i="3" s="1"/>
  <c r="G36" i="3"/>
  <c r="F36" i="3"/>
  <c r="E36" i="3"/>
  <c r="D36" i="3"/>
  <c r="D2" i="3"/>
  <c r="G40" i="3" s="1"/>
  <c r="G45" i="3" s="1"/>
  <c r="Y26" i="14" l="1"/>
  <c r="B32" i="14"/>
  <c r="Y28" i="14"/>
  <c r="B34" i="14"/>
  <c r="G34" i="14" s="1"/>
  <c r="H67" i="12" s="1"/>
  <c r="Y21" i="14"/>
  <c r="C34" i="14"/>
  <c r="AH49" i="12"/>
  <c r="G49" i="12"/>
  <c r="M49" i="12"/>
  <c r="AO49" i="12"/>
  <c r="AA49" i="12"/>
  <c r="T49" i="12"/>
  <c r="J20" i="14"/>
  <c r="J27" i="14"/>
  <c r="S20" i="14"/>
  <c r="S27" i="14"/>
  <c r="S8" i="14"/>
  <c r="V4" i="9"/>
  <c r="H20" i="14"/>
  <c r="H27" i="14"/>
  <c r="Z50" i="12"/>
  <c r="S50" i="12"/>
  <c r="AG50" i="12"/>
  <c r="F50" i="12"/>
  <c r="L50" i="12"/>
  <c r="AN50" i="12"/>
  <c r="AO50" i="12"/>
  <c r="M50" i="12"/>
  <c r="G50" i="12"/>
  <c r="AA50" i="12"/>
  <c r="T50" i="12"/>
  <c r="AH50" i="12"/>
  <c r="D59" i="12"/>
  <c r="E32" i="14"/>
  <c r="C53" i="12"/>
  <c r="T44" i="3"/>
  <c r="O48" i="12"/>
  <c r="H59" i="12" s="1"/>
  <c r="I48" i="12"/>
  <c r="F59" i="12" s="1"/>
  <c r="V9" i="14"/>
  <c r="K14" i="14" s="1"/>
  <c r="I20" i="14"/>
  <c r="I27" i="14" s="1"/>
  <c r="F8" i="9"/>
  <c r="E13" i="9" s="1"/>
  <c r="B4" i="14"/>
  <c r="I8" i="14" s="1"/>
  <c r="F13" i="14" s="1"/>
  <c r="C27" i="14"/>
  <c r="C20" i="14"/>
  <c r="C8" i="14"/>
  <c r="L34" i="14"/>
  <c r="H34" i="14" s="1"/>
  <c r="I67" i="12" s="1"/>
  <c r="AC48" i="12"/>
  <c r="N50" i="12"/>
  <c r="AP50" i="12"/>
  <c r="AB50" i="12"/>
  <c r="H50" i="12"/>
  <c r="AI50" i="12"/>
  <c r="U50" i="12"/>
  <c r="C32" i="14"/>
  <c r="Y19" i="14"/>
  <c r="F8" i="14"/>
  <c r="E13" i="14" s="1"/>
  <c r="F20" i="14"/>
  <c r="F27" i="14"/>
  <c r="E8" i="9"/>
  <c r="K48" i="12"/>
  <c r="AF48" i="12"/>
  <c r="E48" i="12"/>
  <c r="Y48" i="12"/>
  <c r="AM48" i="12"/>
  <c r="R48" i="12"/>
  <c r="F48" i="12"/>
  <c r="Z48" i="12"/>
  <c r="S48" i="12"/>
  <c r="AG48" i="12"/>
  <c r="AN48" i="12"/>
  <c r="L48" i="12"/>
  <c r="Q44" i="3"/>
  <c r="I3" i="13"/>
  <c r="O20" i="14"/>
  <c r="O27" i="14"/>
  <c r="O8" i="14"/>
  <c r="H13" i="14" s="1"/>
  <c r="N8" i="9"/>
  <c r="G13" i="9" s="1"/>
  <c r="L27" i="14"/>
  <c r="L20" i="14"/>
  <c r="L8" i="14"/>
  <c r="T8" i="9"/>
  <c r="D27" i="14"/>
  <c r="D20" i="14"/>
  <c r="D8" i="14"/>
  <c r="D13" i="14" s="1"/>
  <c r="V4" i="14"/>
  <c r="E8" i="14"/>
  <c r="E20" i="14"/>
  <c r="E27" i="14"/>
  <c r="P20" i="14"/>
  <c r="P27" i="14"/>
  <c r="P8" i="14"/>
  <c r="I13" i="14" s="1"/>
  <c r="D32" i="14"/>
  <c r="K32" i="14" s="1"/>
  <c r="L32" i="14" s="1"/>
  <c r="H32" i="14" s="1"/>
  <c r="I65" i="12" s="1"/>
  <c r="K7" i="14"/>
  <c r="J7" i="14"/>
  <c r="N7" i="14"/>
  <c r="G12" i="14" s="1"/>
  <c r="E7" i="14"/>
  <c r="V7" i="14" s="1"/>
  <c r="K12" i="14" s="1"/>
  <c r="G7" i="14"/>
  <c r="R7" i="14"/>
  <c r="C7" i="14"/>
  <c r="Q7" i="14"/>
  <c r="J12" i="14" s="1"/>
  <c r="I7" i="14"/>
  <c r="F12" i="14" s="1"/>
  <c r="L7" i="14"/>
  <c r="U7" i="14"/>
  <c r="CH50" i="12"/>
  <c r="D67" i="12"/>
  <c r="BT50" i="12"/>
  <c r="E55" i="12"/>
  <c r="F55" i="12" s="1"/>
  <c r="Q52" i="3"/>
  <c r="K22" i="7"/>
  <c r="I10" i="13"/>
  <c r="J10" i="13" s="1"/>
  <c r="BK50" i="12"/>
  <c r="AA44" i="3"/>
  <c r="AW50" i="12"/>
  <c r="R50" i="12"/>
  <c r="AM50" i="12"/>
  <c r="K50" i="12"/>
  <c r="Y50" i="12"/>
  <c r="E50" i="12"/>
  <c r="AF50" i="12"/>
  <c r="AO48" i="12"/>
  <c r="M48" i="12"/>
  <c r="AA48" i="12"/>
  <c r="G48" i="12"/>
  <c r="T48" i="12"/>
  <c r="AH48" i="12"/>
  <c r="D61" i="12"/>
  <c r="C55" i="12"/>
  <c r="E34" i="14"/>
  <c r="Z44" i="3"/>
  <c r="O50" i="12"/>
  <c r="H61" i="12" s="1"/>
  <c r="N8" i="14"/>
  <c r="G13" i="14" s="1"/>
  <c r="N20" i="14"/>
  <c r="N27" i="14"/>
  <c r="U8" i="14"/>
  <c r="U27" i="14"/>
  <c r="U20" i="14"/>
  <c r="AJ50" i="12"/>
  <c r="J61" i="12" s="1"/>
  <c r="AJ48" i="12"/>
  <c r="J59" i="12" s="1"/>
  <c r="G27" i="14"/>
  <c r="G20" i="14"/>
  <c r="G8" i="14"/>
  <c r="K20" i="14"/>
  <c r="K27" i="14"/>
  <c r="K8" i="14"/>
  <c r="T20" i="14"/>
  <c r="T27" i="14"/>
  <c r="T8" i="14"/>
  <c r="C8" i="9"/>
  <c r="C13" i="9" s="1"/>
  <c r="B4" i="9"/>
  <c r="L8" i="9" s="1"/>
  <c r="R8" i="14"/>
  <c r="R20" i="14"/>
  <c r="R27" i="14"/>
  <c r="C14" i="14"/>
  <c r="B9" i="14"/>
  <c r="M8" i="14"/>
  <c r="M27" i="14"/>
  <c r="M20" i="14"/>
  <c r="V48" i="12"/>
  <c r="H9" i="13"/>
  <c r="V7" i="9"/>
  <c r="K12" i="9" s="1"/>
  <c r="B9" i="9"/>
  <c r="K14" i="9"/>
  <c r="B7" i="9"/>
  <c r="L40" i="3"/>
  <c r="L45" i="3" s="1"/>
  <c r="D40" i="3"/>
  <c r="D45" i="3" s="1"/>
  <c r="N40" i="3"/>
  <c r="N45" i="3" s="1"/>
  <c r="H40" i="3"/>
  <c r="H45" i="3" s="1"/>
  <c r="J40" i="3"/>
  <c r="J45" i="3" s="1"/>
  <c r="M40" i="3"/>
  <c r="M45" i="3" s="1"/>
  <c r="K40" i="3"/>
  <c r="K45" i="3" s="1"/>
  <c r="Q40" i="3"/>
  <c r="E40" i="3"/>
  <c r="E45" i="3" s="1"/>
  <c r="F40" i="3"/>
  <c r="F45" i="3" s="1"/>
  <c r="P40" i="3"/>
  <c r="P45" i="3" s="1"/>
  <c r="E66" i="12" l="1"/>
  <c r="J33" i="14"/>
  <c r="C124" i="7"/>
  <c r="M39" i="7"/>
  <c r="X45" i="3"/>
  <c r="CC49" i="12"/>
  <c r="BO49" i="12"/>
  <c r="AR49" i="12"/>
  <c r="AY49" i="12"/>
  <c r="BF49" i="12"/>
  <c r="G66" i="12" s="1"/>
  <c r="AZ49" i="12"/>
  <c r="AS49" i="12"/>
  <c r="BP49" i="12"/>
  <c r="CD49" i="12"/>
  <c r="BG49" i="12"/>
  <c r="B7" i="14"/>
  <c r="C12" i="14"/>
  <c r="B20" i="14"/>
  <c r="J8" i="14"/>
  <c r="K49" i="12"/>
  <c r="E49" i="12"/>
  <c r="Y49" i="12"/>
  <c r="AF49" i="12"/>
  <c r="R49" i="12"/>
  <c r="AM49" i="12"/>
  <c r="BQ49" i="12"/>
  <c r="CE49" i="12"/>
  <c r="AT49" i="12"/>
  <c r="BA49" i="12"/>
  <c r="BH49" i="12"/>
  <c r="Q45" i="3"/>
  <c r="I4" i="13"/>
  <c r="H49" i="12"/>
  <c r="AI49" i="12"/>
  <c r="AB49" i="12"/>
  <c r="U49" i="12"/>
  <c r="N49" i="12"/>
  <c r="AP49" i="12"/>
  <c r="C13" i="14"/>
  <c r="D60" i="12"/>
  <c r="E33" i="14"/>
  <c r="C54" i="12"/>
  <c r="W44" i="3"/>
  <c r="AJ49" i="12"/>
  <c r="J60" i="12" s="1"/>
  <c r="I49" i="12"/>
  <c r="F60" i="12" s="1"/>
  <c r="O49" i="12"/>
  <c r="H60" i="12" s="1"/>
  <c r="AC49" i="12"/>
  <c r="V49" i="12"/>
  <c r="BS49" i="12"/>
  <c r="BC49" i="12"/>
  <c r="CG49" i="12"/>
  <c r="AV49" i="12"/>
  <c r="BJ49" i="12"/>
  <c r="F49" i="12"/>
  <c r="AN49" i="12"/>
  <c r="Z49" i="12"/>
  <c r="S49" i="12"/>
  <c r="AG49" i="12"/>
  <c r="L49" i="12"/>
  <c r="BB49" i="12"/>
  <c r="AU49" i="12"/>
  <c r="BR49" i="12"/>
  <c r="BI49" i="12"/>
  <c r="CF49" i="12"/>
  <c r="E60" i="12"/>
  <c r="B124" i="7"/>
  <c r="L39" i="7"/>
  <c r="W45" i="3"/>
  <c r="X49" i="12"/>
  <c r="Q49" i="12"/>
  <c r="J49" i="12"/>
  <c r="I60" i="12" s="1"/>
  <c r="AE49" i="12"/>
  <c r="K60" i="12" s="1"/>
  <c r="D49" i="12"/>
  <c r="G60" i="12" s="1"/>
  <c r="AL49" i="12"/>
  <c r="R8" i="9"/>
  <c r="U8" i="9"/>
  <c r="J8" i="9"/>
  <c r="S8" i="9"/>
  <c r="K8" i="9"/>
  <c r="G8" i="9"/>
  <c r="V8" i="9" s="1"/>
  <c r="K13" i="9" s="1"/>
  <c r="Q8" i="9"/>
  <c r="J13" i="9" s="1"/>
  <c r="I8" i="9"/>
  <c r="F13" i="9" s="1"/>
  <c r="M8" i="9"/>
  <c r="CH48" i="12"/>
  <c r="D65" i="12"/>
  <c r="K20" i="7"/>
  <c r="BT48" i="12"/>
  <c r="I8" i="13"/>
  <c r="J8" i="13" s="1"/>
  <c r="Q50" i="3"/>
  <c r="E53" i="12"/>
  <c r="F53" i="12" s="1"/>
  <c r="K21" i="7"/>
  <c r="Q51" i="3"/>
  <c r="U44" i="3"/>
  <c r="AW48" i="12"/>
  <c r="BK48" i="12"/>
  <c r="F65" i="12" s="1"/>
  <c r="BD48" i="12"/>
  <c r="O8" i="9"/>
  <c r="H13" i="9" s="1"/>
  <c r="H8" i="9"/>
  <c r="B27" i="14"/>
  <c r="D8" i="9"/>
  <c r="D13" i="9" s="1"/>
  <c r="P8" i="9"/>
  <c r="G32" i="14"/>
  <c r="H65" i="12" s="1"/>
  <c r="D33" i="14"/>
  <c r="Q8" i="14"/>
  <c r="J13" i="14" s="1"/>
  <c r="H8" i="14"/>
  <c r="V8" i="14" s="1"/>
  <c r="K13" i="14" s="1"/>
  <c r="Y20" i="14" l="1"/>
  <c r="C33" i="14"/>
  <c r="B33" i="14"/>
  <c r="G33" i="14" s="1"/>
  <c r="H66" i="12" s="1"/>
  <c r="Y27" i="14"/>
  <c r="K33" i="14"/>
  <c r="L33" i="14" s="1"/>
  <c r="H33" i="14" s="1"/>
  <c r="I66" i="12" s="1"/>
  <c r="B8" i="9"/>
  <c r="B8" i="14"/>
  <c r="D66" i="12"/>
  <c r="E54" i="12"/>
  <c r="F54" i="12" s="1"/>
  <c r="I9" i="13"/>
  <c r="J9" i="13" s="1"/>
  <c r="X44" i="3"/>
  <c r="BD49" i="12"/>
  <c r="AW49" i="12"/>
  <c r="CH49" i="12"/>
  <c r="BT49" i="12"/>
  <c r="BK49" i="12"/>
  <c r="F66" i="12" s="1"/>
</calcChain>
</file>

<file path=xl/comments1.xml><?xml version="1.0" encoding="utf-8"?>
<comments xmlns="http://schemas.openxmlformats.org/spreadsheetml/2006/main">
  <authors>
    <author>Meta</author>
  </authors>
  <commentList>
    <comment ref="C43" author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Altotaleco
Altotalhuman
Altotalresource
Alteofeco
Alteofhuman
Alteofresource
Altoperationeco
Altoperationhuman
Altoperationresources
Altproductioneco
Altproductionhuman
Altproductionresources
Altraweco
Altrawhuman
AltRawrescources
CFtotaleco
CFtotalhuman
CFtotalREsources
CFeofeco
CFeofhuman
CFeofREsources
CFeofoperationeco
CFeofoperationhuman
CFeofoperationresources
CFproductionEco
CFproductionHuman
CFproductionResources
CFrawEco
CFrawhuman
CFrawresources</t>
        </r>
      </text>
    </comment>
  </commentList>
</comments>
</file>

<file path=xl/comments2.xml><?xml version="1.0" encoding="utf-8"?>
<comments xmlns="http://schemas.openxmlformats.org/spreadsheetml/2006/main">
  <authors>
    <author>Meta</author>
  </authors>
  <commentList>
    <comment ref="G48" author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formentlig pga aluminium til skralm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 forslag til CFRP til at mindske ressource impact: nedbring spild og reducer varmeforbruget</t>
        </r>
      </text>
    </comment>
  </commentList>
</comments>
</file>

<file path=xl/sharedStrings.xml><?xml version="1.0" encoding="utf-8"?>
<sst xmlns="http://schemas.openxmlformats.org/spreadsheetml/2006/main" count="657" uniqueCount="201">
  <si>
    <t>Quantity view</t>
  </si>
  <si>
    <t>End of Life</t>
  </si>
  <si>
    <t>Operation</t>
  </si>
  <si>
    <t>Production</t>
  </si>
  <si>
    <t>Total</t>
  </si>
  <si>
    <t>Raw materials</t>
  </si>
  <si>
    <t>Correction factor for fossil depletion</t>
  </si>
  <si>
    <t>Correction factor for Ionising radiation</t>
  </si>
  <si>
    <t>Impact category - Carbon fibre</t>
  </si>
  <si>
    <t xml:space="preserve"> Agricultural land occupation [species.yr]</t>
  </si>
  <si>
    <t xml:space="preserve"> Climate change Ecosystems [species.yr]</t>
  </si>
  <si>
    <t xml:space="preserve"> Climate change Human Health [DALY]</t>
  </si>
  <si>
    <t xml:space="preserve"> Fossil depletion [$]</t>
  </si>
  <si>
    <t xml:space="preserve"> Freshwater ecotoxicity [species.yr]</t>
  </si>
  <si>
    <t xml:space="preserve"> Freshwater eutrophication [species.yr]</t>
  </si>
  <si>
    <t xml:space="preserve"> Human toxicity [DALY]</t>
  </si>
  <si>
    <t xml:space="preserve"> Ionising radiation [DALY]</t>
  </si>
  <si>
    <t xml:space="preserve"> Marine ecotoxicity [species.yr]</t>
  </si>
  <si>
    <t xml:space="preserve"> Metal depletion [$]</t>
  </si>
  <si>
    <t xml:space="preserve"> Natural land transformation [species.yr]</t>
  </si>
  <si>
    <t xml:space="preserve"> Ozone depletion [DALY]</t>
  </si>
  <si>
    <t xml:space="preserve"> Particulate matter formation [DALY]</t>
  </si>
  <si>
    <t xml:space="preserve"> Photochemical oxidant formation [DALY]</t>
  </si>
  <si>
    <t xml:space="preserve"> Terrestrial acidification [species.yr]</t>
  </si>
  <si>
    <t xml:space="preserve"> Terrestrial ecotoxicity [species.yr]</t>
  </si>
  <si>
    <t xml:space="preserve"> Urban land occupation [species.yr]</t>
  </si>
  <si>
    <t>Endpoint Normalisation</t>
  </si>
  <si>
    <t>ReCiPe Endpoint (I)</t>
  </si>
  <si>
    <t>ReCiPe Endpoint (H)</t>
  </si>
  <si>
    <t>ReCiPe Endpoint (E)</t>
  </si>
  <si>
    <t>Normalisation</t>
  </si>
  <si>
    <t>Individualist</t>
  </si>
  <si>
    <t>Hierarchist</t>
  </si>
  <si>
    <t>Egalitarian</t>
  </si>
  <si>
    <t>Europe</t>
  </si>
  <si>
    <t>World</t>
  </si>
  <si>
    <t>Ecosystems [species.yr/p/yr]</t>
  </si>
  <si>
    <t>Human health [DALY/p/yr]</t>
  </si>
  <si>
    <t>Resources [$/p/yr]</t>
  </si>
  <si>
    <t>Weighting</t>
  </si>
  <si>
    <t>Perspective:</t>
  </si>
  <si>
    <t>Average</t>
  </si>
  <si>
    <t>Ecosystems</t>
  </si>
  <si>
    <t>Human health</t>
  </si>
  <si>
    <t>Resources</t>
  </si>
  <si>
    <t>Hierachist</t>
  </si>
  <si>
    <t>Ecosystems [p/yr]</t>
  </si>
  <si>
    <t>Human health [p/yr]</t>
  </si>
  <si>
    <t>Resources [p/yr]</t>
  </si>
  <si>
    <t>AL</t>
  </si>
  <si>
    <t>Auminium</t>
  </si>
  <si>
    <t>CFRP</t>
  </si>
  <si>
    <t>Carbon fibre</t>
  </si>
  <si>
    <t>Total CFRP</t>
  </si>
  <si>
    <t>Total AL</t>
  </si>
  <si>
    <t>Construction</t>
  </si>
  <si>
    <t>Carbonfiber production</t>
  </si>
  <si>
    <t>Diesel burning</t>
  </si>
  <si>
    <t>Disposal options</t>
  </si>
  <si>
    <t>Maintenace CFRP</t>
  </si>
  <si>
    <t>PVC Foam production</t>
  </si>
  <si>
    <t>CH: disposal, building, bulk iron (excluding reinforcement), to sorting plant</t>
  </si>
  <si>
    <t>CH: disposal, polyethylene, 0.4% water, to municipal incineration</t>
  </si>
  <si>
    <t>CH: disposal, polyvinylchloride, 0.2% water, to sanitary landfill</t>
  </si>
  <si>
    <t>CH: disposal, wood untreated, 20% water, to municipal incineration</t>
  </si>
  <si>
    <t>DK: Powermix</t>
  </si>
  <si>
    <t>DK: Structure prodution at Tuco &lt;u-so&gt;</t>
  </si>
  <si>
    <t>DK: waste container &lt;u-so&gt;</t>
  </si>
  <si>
    <t>NO: ferry assembly-carbon ferry &lt;u-so&gt;</t>
  </si>
  <si>
    <t>no: Operation Carbon ferry &lt;u-so&gt;</t>
  </si>
  <si>
    <t>Plastic helpers &lt;u-so&gt;</t>
  </si>
  <si>
    <t>RER: acetone, liquid, at plant</t>
  </si>
  <si>
    <t>RER: acrylic filler, at plant</t>
  </si>
  <si>
    <t>RER: cumene, at plant</t>
  </si>
  <si>
    <t>RER: epoxy resin, liquid, at plant</t>
  </si>
  <si>
    <t>RER: gas motor 206kW</t>
  </si>
  <si>
    <t>RER: natural gas, burned in industrial furnace low-NOx &gt;100kW</t>
  </si>
  <si>
    <t>RER: plywood, indoor use, at plant</t>
  </si>
  <si>
    <t>RER: polyester resin, unsaturated, at plant</t>
  </si>
  <si>
    <t>RER: polystyrene, general purpose, GPPS, at plant</t>
  </si>
  <si>
    <t>RER: transport, barge</t>
  </si>
  <si>
    <t>RER: transport, lorry 16-32t, EURO5</t>
  </si>
  <si>
    <t>nweigthed Hiharcist/construction</t>
  </si>
  <si>
    <t>Total construction</t>
  </si>
  <si>
    <t>Al</t>
  </si>
  <si>
    <t>Rescourceses</t>
  </si>
  <si>
    <t>Endpoint weighed 30 years</t>
  </si>
  <si>
    <t>Weighted-30 years</t>
  </si>
  <si>
    <t>ReCiPe Endpoint (H) - Agricultural land occupation [species.yr]</t>
  </si>
  <si>
    <t>ReCiPe Endpoint (H) - Climate change Ecosystems [species.yr]</t>
  </si>
  <si>
    <t>ReCiPe Endpoint (H) - Climate change Human Health [DALY]</t>
  </si>
  <si>
    <t>ReCiPe Endpoint (H) - Fossil depletion [$]</t>
  </si>
  <si>
    <t>ReCiPe Endpoint (H) - Freshwater ecotoxicity [species.yr]</t>
  </si>
  <si>
    <t>ReCiPe Endpoint (H) - Freshwater eutrophication [species.yr]</t>
  </si>
  <si>
    <t>ReCiPe Endpoint (H) - Human toxicity [DALY]</t>
  </si>
  <si>
    <t>ReCiPe Endpoint (H) - Ionising radiation [DALY]</t>
  </si>
  <si>
    <t>ReCiPe Endpoint (H) - Marine ecotoxicity [species.yr]</t>
  </si>
  <si>
    <t>ReCiPe Endpoint (H) - Metal depletion [$]</t>
  </si>
  <si>
    <t>ReCiPe Endpoint (H) - Natural land transformation [species.yr]</t>
  </si>
  <si>
    <t>ReCiPe Endpoint (H) - Ozone depletion [DALY]</t>
  </si>
  <si>
    <t>ReCiPe Endpoint (H) - Particulate matter formation [DALY]</t>
  </si>
  <si>
    <t>ReCiPe Endpoint (H) - Photochemical oxidant formation [DALY]</t>
  </si>
  <si>
    <t>ReCiPe Endpoint (H) - Terrestrial acidification [species.yr]</t>
  </si>
  <si>
    <t>ReCiPe Endpoint (H) - Terrestrial ecotoxicity [species.yr]</t>
  </si>
  <si>
    <t>ReCiPe Endpoint (H) - Urban land occupation [species.yr]</t>
  </si>
  <si>
    <t>Aluminium hull making &lt;u-so&gt;</t>
  </si>
  <si>
    <t>Natio: Aluminium rolling &lt;u-so&gt;</t>
  </si>
  <si>
    <t>NO: ferry assembly Aluminium ferry &lt;u-so&gt;</t>
  </si>
  <si>
    <t>NO: operation-Aluminium ferry &lt;u-so&gt;</t>
  </si>
  <si>
    <t>OCE: transport, transoceanic freight ship</t>
  </si>
  <si>
    <t>RER: aluminium alloy, AlMg3, at plant</t>
  </si>
  <si>
    <t>RER: aluminium, secondary, from old scrap, at plant (Inverted)</t>
  </si>
  <si>
    <t>RER: sheet rolling, aluminium</t>
  </si>
  <si>
    <t>RER: welding, arc, aluminium</t>
  </si>
  <si>
    <t>Hot spots</t>
  </si>
  <si>
    <t>Total Al 30 T</t>
  </si>
  <si>
    <t>Aluminium 30T</t>
  </si>
  <si>
    <t>Aluminium 50 T</t>
  </si>
  <si>
    <t>Total Al 50 T</t>
  </si>
  <si>
    <t>Aluminium 925 m welding</t>
  </si>
  <si>
    <t>Total Al 925m</t>
  </si>
  <si>
    <t>Aluminium welding 20 km</t>
  </si>
  <si>
    <t>Total Al 20km welding</t>
  </si>
  <si>
    <t>Aluminium 15000 km transport</t>
  </si>
  <si>
    <t>Total Al 15000 km transport</t>
  </si>
  <si>
    <t>Aluminium 25000km transport</t>
  </si>
  <si>
    <t>Total Aluminium 25000km transport</t>
  </si>
  <si>
    <t>CFRP 20000tkm Lorry transport</t>
  </si>
  <si>
    <t>total CFRP 20000tkm Lorry transport</t>
  </si>
  <si>
    <t>CFRP 50000tkm Lorry transport</t>
  </si>
  <si>
    <t>CFRP Dion to polymer</t>
  </si>
  <si>
    <t>Change</t>
  </si>
  <si>
    <t>Other</t>
  </si>
  <si>
    <t>Fejl skal køres igen</t>
  </si>
  <si>
    <t>total polymer</t>
  </si>
  <si>
    <t>construcion no epoxy</t>
  </si>
  <si>
    <t>Consstrucion</t>
  </si>
  <si>
    <t>construction</t>
  </si>
  <si>
    <t>7 months</t>
  </si>
  <si>
    <t>4 month</t>
  </si>
  <si>
    <t>2,5 month</t>
  </si>
  <si>
    <t>Al 30 T</t>
  </si>
  <si>
    <t>Al 50 T</t>
  </si>
  <si>
    <t>change</t>
  </si>
  <si>
    <t>Aluminium Sensitivity</t>
  </si>
  <si>
    <t>AL 30 T</t>
  </si>
  <si>
    <t>Construcion</t>
  </si>
  <si>
    <t>Al transport 15000</t>
  </si>
  <si>
    <t>CFRP Sesitivity</t>
  </si>
  <si>
    <t>NO Epoxy  only polyester</t>
  </si>
  <si>
    <t>2,5 mont change</t>
  </si>
  <si>
    <t>Total CFRP classic</t>
  </si>
  <si>
    <t>operation CFRP</t>
  </si>
  <si>
    <t>2,5 month production+30 years operation</t>
  </si>
  <si>
    <t>CFRP- basic scenario</t>
  </si>
  <si>
    <t>Total- 30 Y</t>
  </si>
  <si>
    <t>Production time 2,5 mdr</t>
  </si>
  <si>
    <t>Aluminium basic scenario</t>
  </si>
  <si>
    <t>Total-30Y</t>
  </si>
  <si>
    <t>year</t>
  </si>
  <si>
    <t>B</t>
  </si>
  <si>
    <t>A</t>
  </si>
  <si>
    <t>c</t>
  </si>
  <si>
    <t>d</t>
  </si>
  <si>
    <t>a</t>
  </si>
  <si>
    <t>b</t>
  </si>
  <si>
    <t>Break Even (month)</t>
  </si>
  <si>
    <t>CFRP PVC wate</t>
  </si>
  <si>
    <t>total pvc waste</t>
  </si>
  <si>
    <t>CH: disposal, polyvinylchloride, 0.2% water, to municipal incineration</t>
  </si>
  <si>
    <t>pvc</t>
  </si>
  <si>
    <t>polyeth</t>
  </si>
  <si>
    <t>toal</t>
  </si>
  <si>
    <t>only 10% waste</t>
  </si>
  <si>
    <t>Aluminium</t>
  </si>
  <si>
    <t>Alumium</t>
  </si>
  <si>
    <t>CFRP no maintance</t>
  </si>
  <si>
    <t>NO CFRP maintance</t>
  </si>
  <si>
    <t>5 ton plastic helpers</t>
  </si>
  <si>
    <t>5 ton plastic helps</t>
  </si>
  <si>
    <t>666 kg wood</t>
  </si>
  <si>
    <t>1000 kg wood</t>
  </si>
  <si>
    <t>Her er den fejl i beregningerne</t>
  </si>
  <si>
    <t>Sammenligning af to affaldsprocesser fra Gabi</t>
  </si>
  <si>
    <t>10% waste nnot 25% %</t>
  </si>
  <si>
    <t>1 ton plastic hepler not 3 t</t>
  </si>
  <si>
    <t>1 ton plastic helpers not 3 t</t>
  </si>
  <si>
    <t>Grundlag for cirkeldiagrammerne der viser endpoint damage fra hver materiale kategori i konstruktionsfasen</t>
  </si>
  <si>
    <r>
      <rPr>
        <sz val="11"/>
        <color rgb="FF0070C0"/>
        <rFont val="Calibri"/>
        <family val="2"/>
        <scheme val="minor"/>
      </rPr>
      <t>Forsøg på at nedsætte engergiforbruget i en CFRP-produktion, opvarmningsgas blev valgt til eneste variable</t>
    </r>
    <r>
      <rPr>
        <sz val="11"/>
        <color theme="1"/>
        <rFont val="Calibri"/>
        <family val="2"/>
        <scheme val="minor"/>
      </rPr>
      <t>.</t>
    </r>
  </si>
  <si>
    <t>break even years</t>
  </si>
  <si>
    <t>Years:</t>
  </si>
  <si>
    <t>Sailed per year</t>
  </si>
  <si>
    <t>Fuel price increase (%)</t>
  </si>
  <si>
    <t>Fuel price</t>
  </si>
  <si>
    <t>Maintenance per year</t>
  </si>
  <si>
    <t>Fuel per year</t>
  </si>
  <si>
    <t>Maintenance</t>
  </si>
  <si>
    <t>Disposal</t>
  </si>
  <si>
    <t>Difference</t>
  </si>
  <si>
    <t>per year</t>
  </si>
  <si>
    <t>Aluminum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</si>
</sst>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1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11" fontId="0" fillId="0" borderId="0" xfId="0" applyNumberFormat="1" applyFont="1" applyFill="1" applyBorder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0" fontId="0" fillId="4" borderId="0" xfId="0" applyFont="1" applyFill="1" applyBorder="1"/>
    <xf numFmtId="11" fontId="0" fillId="4" borderId="0" xfId="0" applyNumberFormat="1" applyFont="1" applyFill="1" applyBorder="1"/>
    <xf numFmtId="0" fontId="0" fillId="5" borderId="0" xfId="0" applyFont="1" applyFill="1" applyBorder="1"/>
    <xf numFmtId="11" fontId="0" fillId="5" borderId="0" xfId="0" applyNumberFormat="1" applyFont="1" applyFill="1" applyBorder="1"/>
    <xf numFmtId="0" fontId="0" fillId="6" borderId="0" xfId="0" applyFont="1" applyFill="1" applyBorder="1"/>
    <xf numFmtId="11" fontId="0" fillId="6" borderId="0" xfId="0" applyNumberFormat="1" applyFont="1" applyFill="1" applyBorder="1"/>
    <xf numFmtId="10" fontId="0" fillId="0" borderId="0" xfId="0" applyNumberFormat="1"/>
    <xf numFmtId="10" fontId="0" fillId="2" borderId="0" xfId="0" applyNumberFormat="1" applyFill="1"/>
    <xf numFmtId="0" fontId="0" fillId="7" borderId="0" xfId="0" applyFill="1"/>
    <xf numFmtId="11" fontId="0" fillId="7" borderId="0" xfId="0" applyNumberFormat="1" applyFill="1"/>
    <xf numFmtId="0" fontId="2" fillId="0" borderId="0" xfId="0" applyFont="1"/>
    <xf numFmtId="11" fontId="2" fillId="0" borderId="0" xfId="0" applyNumberFormat="1" applyFont="1"/>
    <xf numFmtId="0" fontId="1" fillId="7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8" borderId="0" xfId="0" applyFill="1"/>
    <xf numFmtId="0" fontId="1" fillId="8" borderId="0" xfId="0" applyFont="1" applyFill="1" applyBorder="1"/>
    <xf numFmtId="0" fontId="0" fillId="4" borderId="0" xfId="0" applyFill="1"/>
    <xf numFmtId="11" fontId="0" fillId="4" borderId="0" xfId="0" applyNumberFormat="1" applyFill="1"/>
    <xf numFmtId="0" fontId="0" fillId="9" borderId="0" xfId="0" applyFill="1"/>
    <xf numFmtId="10" fontId="0" fillId="7" borderId="0" xfId="0" applyNumberFormat="1" applyFill="1"/>
    <xf numFmtId="10" fontId="0" fillId="0" borderId="0" xfId="0" applyNumberFormat="1" applyFill="1"/>
    <xf numFmtId="0" fontId="0" fillId="0" borderId="0" xfId="0" applyFill="1"/>
    <xf numFmtId="0" fontId="0" fillId="10" borderId="0" xfId="0" applyFill="1"/>
    <xf numFmtId="10" fontId="0" fillId="10" borderId="0" xfId="0" applyNumberFormat="1" applyFill="1"/>
    <xf numFmtId="11" fontId="0" fillId="10" borderId="0" xfId="0" applyNumberForma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0" fontId="0" fillId="0" borderId="0" xfId="0" applyNumberFormat="1" applyBorder="1"/>
    <xf numFmtId="0" fontId="0" fillId="0" borderId="5" xfId="0" applyFill="1" applyBorder="1"/>
    <xf numFmtId="10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9" fontId="0" fillId="0" borderId="0" xfId="0" applyNumberFormat="1"/>
    <xf numFmtId="1" fontId="0" fillId="0" borderId="0" xfId="0" applyNumberFormat="1"/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10" fontId="0" fillId="0" borderId="0" xfId="1" applyNumberFormat="1" applyFont="1"/>
    <xf numFmtId="0" fontId="2" fillId="3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164" fontId="0" fillId="0" borderId="0" xfId="0" applyNumberFormat="1"/>
    <xf numFmtId="2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Tocal</a:t>
            </a:r>
            <a:r>
              <a:rPr lang="da-DK" baseline="0"/>
              <a:t> LCA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scenarios'!$C$44</c:f>
              <c:strCache>
                <c:ptCount val="1"/>
                <c:pt idx="0">
                  <c:v>Ecosystems</c:v>
                </c:pt>
              </c:strCache>
            </c:strRef>
          </c:tx>
          <c:invertIfNegative val="0"/>
          <c:cat>
            <c:strRef>
              <c:f>'basic scenarios'!$D$38:$N$38</c:f>
              <c:strCache>
                <c:ptCount val="11"/>
                <c:pt idx="0">
                  <c:v>Total AL</c:v>
                </c:pt>
                <c:pt idx="1">
                  <c:v>End of Life</c:v>
                </c:pt>
                <c:pt idx="2">
                  <c:v>Operation</c:v>
                </c:pt>
                <c:pt idx="3">
                  <c:v>Production</c:v>
                </c:pt>
                <c:pt idx="4">
                  <c:v>Raw materials</c:v>
                </c:pt>
                <c:pt idx="6">
                  <c:v>Total CFRP</c:v>
                </c:pt>
                <c:pt idx="7">
                  <c:v>End of Life</c:v>
                </c:pt>
                <c:pt idx="8">
                  <c:v>Operation</c:v>
                </c:pt>
                <c:pt idx="9">
                  <c:v>Production</c:v>
                </c:pt>
                <c:pt idx="10">
                  <c:v>Raw materials</c:v>
                </c:pt>
              </c:strCache>
            </c:strRef>
          </c:cat>
          <c:val>
            <c:numRef>
              <c:f>'basic scenarios'!$D$44:$N$44</c:f>
              <c:numCache>
                <c:formatCode>0.00E+00</c:formatCode>
                <c:ptCount val="11"/>
                <c:pt idx="0">
                  <c:v>2455864.6776606599</c:v>
                </c:pt>
                <c:pt idx="1">
                  <c:v>-1074.1959675955607</c:v>
                </c:pt>
                <c:pt idx="2">
                  <c:v>2449292.8523893305</c:v>
                </c:pt>
                <c:pt idx="3">
                  <c:v>187.53466565547802</c:v>
                </c:pt>
                <c:pt idx="4">
                  <c:v>7458.4865732691778</c:v>
                </c:pt>
                <c:pt idx="6">
                  <c:v>1792191.7015949949</c:v>
                </c:pt>
                <c:pt idx="7">
                  <c:v>58.545998197826222</c:v>
                </c:pt>
                <c:pt idx="8">
                  <c:v>1782000.278619709</c:v>
                </c:pt>
                <c:pt idx="9">
                  <c:v>3609.1977195239851</c:v>
                </c:pt>
                <c:pt idx="10">
                  <c:v>6523.6792575652444</c:v>
                </c:pt>
              </c:numCache>
            </c:numRef>
          </c:val>
        </c:ser>
        <c:ser>
          <c:idx val="1"/>
          <c:order val="1"/>
          <c:tx>
            <c:strRef>
              <c:f>'basic scenarios'!$C$45</c:f>
              <c:strCache>
                <c:ptCount val="1"/>
                <c:pt idx="0">
                  <c:v>Human health</c:v>
                </c:pt>
              </c:strCache>
            </c:strRef>
          </c:tx>
          <c:invertIfNegative val="0"/>
          <c:cat>
            <c:strRef>
              <c:f>'basic scenarios'!$D$38:$N$38</c:f>
              <c:strCache>
                <c:ptCount val="11"/>
                <c:pt idx="0">
                  <c:v>Total AL</c:v>
                </c:pt>
                <c:pt idx="1">
                  <c:v>End of Life</c:v>
                </c:pt>
                <c:pt idx="2">
                  <c:v>Operation</c:v>
                </c:pt>
                <c:pt idx="3">
                  <c:v>Production</c:v>
                </c:pt>
                <c:pt idx="4">
                  <c:v>Raw materials</c:v>
                </c:pt>
                <c:pt idx="6">
                  <c:v>Total CFRP</c:v>
                </c:pt>
                <c:pt idx="7">
                  <c:v>End of Life</c:v>
                </c:pt>
                <c:pt idx="8">
                  <c:v>Operation</c:v>
                </c:pt>
                <c:pt idx="9">
                  <c:v>Production</c:v>
                </c:pt>
                <c:pt idx="10">
                  <c:v>Raw materials</c:v>
                </c:pt>
              </c:strCache>
            </c:strRef>
          </c:cat>
          <c:val>
            <c:numRef>
              <c:f>'basic scenarios'!$D$45:$N$45</c:f>
              <c:numCache>
                <c:formatCode>0.00E+00</c:formatCode>
                <c:ptCount val="11"/>
                <c:pt idx="0">
                  <c:v>4600602.4021228421</c:v>
                </c:pt>
                <c:pt idx="1">
                  <c:v>-1394.156925691711</c:v>
                </c:pt>
                <c:pt idx="2">
                  <c:v>4591077.6626977576</c:v>
                </c:pt>
                <c:pt idx="3">
                  <c:v>506.68928302635425</c:v>
                </c:pt>
                <c:pt idx="4">
                  <c:v>10412.207067752062</c:v>
                </c:pt>
                <c:pt idx="6">
                  <c:v>3354515.4723829161</c:v>
                </c:pt>
                <c:pt idx="7">
                  <c:v>183.17405384960591</c:v>
                </c:pt>
                <c:pt idx="8">
                  <c:v>3340155.3396721347</c:v>
                </c:pt>
                <c:pt idx="9">
                  <c:v>4613.7132631601935</c:v>
                </c:pt>
                <c:pt idx="10">
                  <c:v>9563.2453937832925</c:v>
                </c:pt>
              </c:numCache>
            </c:numRef>
          </c:val>
        </c:ser>
        <c:ser>
          <c:idx val="2"/>
          <c:order val="2"/>
          <c:tx>
            <c:strRef>
              <c:f>'basic scenarios'!$C$46</c:f>
              <c:strCache>
                <c:ptCount val="1"/>
                <c:pt idx="0">
                  <c:v>Resources</c:v>
                </c:pt>
              </c:strCache>
            </c:strRef>
          </c:tx>
          <c:invertIfNegative val="0"/>
          <c:cat>
            <c:strRef>
              <c:f>'basic scenarios'!$D$38:$N$38</c:f>
              <c:strCache>
                <c:ptCount val="11"/>
                <c:pt idx="0">
                  <c:v>Total AL</c:v>
                </c:pt>
                <c:pt idx="1">
                  <c:v>End of Life</c:v>
                </c:pt>
                <c:pt idx="2">
                  <c:v>Operation</c:v>
                </c:pt>
                <c:pt idx="3">
                  <c:v>Production</c:v>
                </c:pt>
                <c:pt idx="4">
                  <c:v>Raw materials</c:v>
                </c:pt>
                <c:pt idx="6">
                  <c:v>Total CFRP</c:v>
                </c:pt>
                <c:pt idx="7">
                  <c:v>End of Life</c:v>
                </c:pt>
                <c:pt idx="8">
                  <c:v>Operation</c:v>
                </c:pt>
                <c:pt idx="9">
                  <c:v>Production</c:v>
                </c:pt>
                <c:pt idx="10">
                  <c:v>Raw materials</c:v>
                </c:pt>
              </c:strCache>
            </c:strRef>
          </c:cat>
          <c:val>
            <c:numRef>
              <c:f>'basic scenarios'!$D$46:$N$46</c:f>
              <c:numCache>
                <c:formatCode>0.00E+00</c:formatCode>
                <c:ptCount val="11"/>
                <c:pt idx="0">
                  <c:v>6875664.229485793</c:v>
                </c:pt>
                <c:pt idx="1">
                  <c:v>-3768.9932540155896</c:v>
                </c:pt>
                <c:pt idx="2">
                  <c:v>6857056.7997643845</c:v>
                </c:pt>
                <c:pt idx="3">
                  <c:v>2959.245711896227</c:v>
                </c:pt>
                <c:pt idx="4">
                  <c:v>19417.177263529604</c:v>
                </c:pt>
                <c:pt idx="6">
                  <c:v>5025539.6995469397</c:v>
                </c:pt>
                <c:pt idx="7">
                  <c:v>35.543291466726473</c:v>
                </c:pt>
                <c:pt idx="8">
                  <c:v>4989180.1562481793</c:v>
                </c:pt>
                <c:pt idx="9">
                  <c:v>12005.181993486536</c:v>
                </c:pt>
                <c:pt idx="10">
                  <c:v>24318.818013806773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48320"/>
        <c:axId val="142417920"/>
      </c:barChart>
      <c:catAx>
        <c:axId val="13304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2417920"/>
        <c:crosses val="autoZero"/>
        <c:auto val="1"/>
        <c:lblAlgn val="ctr"/>
        <c:lblOffset val="100"/>
        <c:noMultiLvlLbl val="0"/>
      </c:catAx>
      <c:valAx>
        <c:axId val="14241792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3304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CFRP construction -Ecosystems</a:t>
            </a:r>
          </a:p>
        </c:rich>
      </c:tx>
      <c:overlay val="0"/>
    </c:title>
    <c:autoTitleDeleted val="0"/>
    <c:plotArea>
      <c:layout/>
      <c:pieChart>
        <c:varyColors val="1"/>
        <c:ser>
          <c:idx val="6"/>
          <c:order val="6"/>
          <c:tx>
            <c:strRef>
              <c:f>'prodcution CFRP'!$A$12:$B$12</c:f>
              <c:strCache>
                <c:ptCount val="1"/>
                <c:pt idx="0">
                  <c:v>Ecosystems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CFRP'!$C$12:$K$12</c:f>
              <c:numCache>
                <c:formatCode>General</c:formatCode>
                <c:ptCount val="9"/>
                <c:pt idx="0">
                  <c:v>0.26026882508700744</c:v>
                </c:pt>
                <c:pt idx="1">
                  <c:v>7.2920104987137802E-2</c:v>
                </c:pt>
                <c:pt idx="2">
                  <c:v>5.3964528766096975E-2</c:v>
                </c:pt>
                <c:pt idx="3">
                  <c:v>7.1840314262937827E-2</c:v>
                </c:pt>
                <c:pt idx="4">
                  <c:v>0.21629011656379044</c:v>
                </c:pt>
                <c:pt idx="5">
                  <c:v>5.3303673533725372E-2</c:v>
                </c:pt>
                <c:pt idx="6" formatCode="0.00%">
                  <c:v>0.17252295179795557</c:v>
                </c:pt>
                <c:pt idx="7">
                  <c:v>4.2774246031771282E-2</c:v>
                </c:pt>
                <c:pt idx="8">
                  <c:v>5.6115238969577E-2</c:v>
                </c:pt>
              </c:numCache>
            </c:numRef>
          </c:val>
        </c:ser>
        <c:ser>
          <c:idx val="7"/>
          <c:order val="7"/>
          <c:tx>
            <c:strRef>
              <c:f>'prodcution CFRP'!$A$13:$B$13</c:f>
              <c:strCache>
                <c:ptCount val="1"/>
                <c:pt idx="0">
                  <c:v>Human health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CFRP'!$C$13:$K$13</c:f>
              <c:numCache>
                <c:formatCode>General</c:formatCode>
                <c:ptCount val="9"/>
                <c:pt idx="0">
                  <c:v>0.26017486790955674</c:v>
                </c:pt>
                <c:pt idx="1">
                  <c:v>6.7284921869231143E-2</c:v>
                </c:pt>
                <c:pt idx="2">
                  <c:v>4.8195273670677198E-2</c:v>
                </c:pt>
                <c:pt idx="3">
                  <c:v>6.394382144698342E-2</c:v>
                </c:pt>
                <c:pt idx="4">
                  <c:v>0.2932518433981865</c:v>
                </c:pt>
                <c:pt idx="5">
                  <c:v>6.2477414379411088E-2</c:v>
                </c:pt>
                <c:pt idx="6" formatCode="0.00%">
                  <c:v>0.14630474073185823</c:v>
                </c:pt>
                <c:pt idx="7">
                  <c:v>4.0326437522612635E-3</c:v>
                </c:pt>
                <c:pt idx="8">
                  <c:v>5.4334472841834416E-2</c:v>
                </c:pt>
              </c:numCache>
            </c:numRef>
          </c:val>
        </c:ser>
        <c:ser>
          <c:idx val="8"/>
          <c:order val="8"/>
          <c:tx>
            <c:strRef>
              <c:f>'prodcution CFRP'!$A$14:$B$14</c:f>
              <c:strCache>
                <c:ptCount val="1"/>
                <c:pt idx="0">
                  <c:v>Resources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CFRP'!$C$14:$K$14</c:f>
              <c:numCache>
                <c:formatCode>General</c:formatCode>
                <c:ptCount val="9"/>
                <c:pt idx="0">
                  <c:v>0.27963154471350044</c:v>
                </c:pt>
                <c:pt idx="1">
                  <c:v>8.6136276836491305E-2</c:v>
                </c:pt>
                <c:pt idx="2">
                  <c:v>2.6086726997875324E-4</c:v>
                </c:pt>
                <c:pt idx="3">
                  <c:v>5.6391993542478959E-2</c:v>
                </c:pt>
                <c:pt idx="4">
                  <c:v>0.24053858527569072</c:v>
                </c:pt>
                <c:pt idx="5">
                  <c:v>9.8090473918445026E-2</c:v>
                </c:pt>
                <c:pt idx="6">
                  <c:v>0.17433454326699252</c:v>
                </c:pt>
                <c:pt idx="7">
                  <c:v>1.7398842823885519E-3</c:v>
                </c:pt>
                <c:pt idx="8">
                  <c:v>6.2875830894033452E-2</c:v>
                </c:pt>
              </c:numCache>
            </c:numRef>
          </c:val>
        </c:ser>
        <c:ser>
          <c:idx val="9"/>
          <c:order val="9"/>
          <c:tx>
            <c:strRef>
              <c:f>'prodcution CFRP'!$A$12:$B$12</c:f>
              <c:strCache>
                <c:ptCount val="1"/>
                <c:pt idx="0">
                  <c:v>Ecosystems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CFRP'!$C$12:$K$12</c:f>
              <c:numCache>
                <c:formatCode>General</c:formatCode>
                <c:ptCount val="9"/>
                <c:pt idx="0">
                  <c:v>0.26026882508700744</c:v>
                </c:pt>
                <c:pt idx="1">
                  <c:v>7.2920104987137802E-2</c:v>
                </c:pt>
                <c:pt idx="2">
                  <c:v>5.3964528766096975E-2</c:v>
                </c:pt>
                <c:pt idx="3">
                  <c:v>7.1840314262937827E-2</c:v>
                </c:pt>
                <c:pt idx="4">
                  <c:v>0.21629011656379044</c:v>
                </c:pt>
                <c:pt idx="5">
                  <c:v>5.3303673533725372E-2</c:v>
                </c:pt>
                <c:pt idx="6" formatCode="0.00%">
                  <c:v>0.17252295179795557</c:v>
                </c:pt>
                <c:pt idx="7">
                  <c:v>4.2774246031771282E-2</c:v>
                </c:pt>
                <c:pt idx="8">
                  <c:v>5.6115238969577E-2</c:v>
                </c:pt>
              </c:numCache>
            </c:numRef>
          </c:val>
        </c:ser>
        <c:ser>
          <c:idx val="10"/>
          <c:order val="10"/>
          <c:tx>
            <c:strRef>
              <c:f>'prodcution CFRP'!$A$13:$B$13</c:f>
              <c:strCache>
                <c:ptCount val="1"/>
                <c:pt idx="0">
                  <c:v>Human health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CFRP'!$C$13:$K$13</c:f>
              <c:numCache>
                <c:formatCode>General</c:formatCode>
                <c:ptCount val="9"/>
                <c:pt idx="0">
                  <c:v>0.26017486790955674</c:v>
                </c:pt>
                <c:pt idx="1">
                  <c:v>6.7284921869231143E-2</c:v>
                </c:pt>
                <c:pt idx="2">
                  <c:v>4.8195273670677198E-2</c:v>
                </c:pt>
                <c:pt idx="3">
                  <c:v>6.394382144698342E-2</c:v>
                </c:pt>
                <c:pt idx="4">
                  <c:v>0.2932518433981865</c:v>
                </c:pt>
                <c:pt idx="5">
                  <c:v>6.2477414379411088E-2</c:v>
                </c:pt>
                <c:pt idx="6" formatCode="0.00%">
                  <c:v>0.14630474073185823</c:v>
                </c:pt>
                <c:pt idx="7">
                  <c:v>4.0326437522612635E-3</c:v>
                </c:pt>
                <c:pt idx="8">
                  <c:v>5.4334472841834416E-2</c:v>
                </c:pt>
              </c:numCache>
            </c:numRef>
          </c:val>
        </c:ser>
        <c:ser>
          <c:idx val="11"/>
          <c:order val="11"/>
          <c:tx>
            <c:strRef>
              <c:f>'prodcution CFRP'!$A$14:$B$14</c:f>
              <c:strCache>
                <c:ptCount val="1"/>
                <c:pt idx="0">
                  <c:v>Resources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CFRP'!$C$14:$K$14</c:f>
              <c:numCache>
                <c:formatCode>General</c:formatCode>
                <c:ptCount val="9"/>
                <c:pt idx="0">
                  <c:v>0.27963154471350044</c:v>
                </c:pt>
                <c:pt idx="1">
                  <c:v>8.6136276836491305E-2</c:v>
                </c:pt>
                <c:pt idx="2">
                  <c:v>2.6086726997875324E-4</c:v>
                </c:pt>
                <c:pt idx="3">
                  <c:v>5.6391993542478959E-2</c:v>
                </c:pt>
                <c:pt idx="4">
                  <c:v>0.24053858527569072</c:v>
                </c:pt>
                <c:pt idx="5">
                  <c:v>9.8090473918445026E-2</c:v>
                </c:pt>
                <c:pt idx="6">
                  <c:v>0.17433454326699252</c:v>
                </c:pt>
                <c:pt idx="7">
                  <c:v>1.7398842823885519E-3</c:v>
                </c:pt>
                <c:pt idx="8">
                  <c:v>6.2875830894033452E-2</c:v>
                </c:pt>
              </c:numCache>
            </c:numRef>
          </c:val>
        </c:ser>
        <c:ser>
          <c:idx val="3"/>
          <c:order val="3"/>
          <c:tx>
            <c:strRef>
              <c:f>'prodcution CFRP'!$A$12:$B$12</c:f>
              <c:strCache>
                <c:ptCount val="1"/>
                <c:pt idx="0">
                  <c:v>Ecosystems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CFRP'!$C$12:$K$12</c:f>
              <c:numCache>
                <c:formatCode>General</c:formatCode>
                <c:ptCount val="9"/>
                <c:pt idx="0">
                  <c:v>0.26026882508700744</c:v>
                </c:pt>
                <c:pt idx="1">
                  <c:v>7.2920104987137802E-2</c:v>
                </c:pt>
                <c:pt idx="2">
                  <c:v>5.3964528766096975E-2</c:v>
                </c:pt>
                <c:pt idx="3">
                  <c:v>7.1840314262937827E-2</c:v>
                </c:pt>
                <c:pt idx="4">
                  <c:v>0.21629011656379044</c:v>
                </c:pt>
                <c:pt idx="5">
                  <c:v>5.3303673533725372E-2</c:v>
                </c:pt>
                <c:pt idx="6" formatCode="0.00%">
                  <c:v>0.17252295179795557</c:v>
                </c:pt>
                <c:pt idx="7">
                  <c:v>4.2774246031771282E-2</c:v>
                </c:pt>
                <c:pt idx="8">
                  <c:v>5.6115238969577E-2</c:v>
                </c:pt>
              </c:numCache>
            </c:numRef>
          </c:val>
        </c:ser>
        <c:ser>
          <c:idx val="4"/>
          <c:order val="4"/>
          <c:tx>
            <c:strRef>
              <c:f>'prodcution CFRP'!$A$13:$B$13</c:f>
              <c:strCache>
                <c:ptCount val="1"/>
                <c:pt idx="0">
                  <c:v>Human health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CFRP'!$C$13:$K$13</c:f>
              <c:numCache>
                <c:formatCode>General</c:formatCode>
                <c:ptCount val="9"/>
                <c:pt idx="0">
                  <c:v>0.26017486790955674</c:v>
                </c:pt>
                <c:pt idx="1">
                  <c:v>6.7284921869231143E-2</c:v>
                </c:pt>
                <c:pt idx="2">
                  <c:v>4.8195273670677198E-2</c:v>
                </c:pt>
                <c:pt idx="3">
                  <c:v>6.394382144698342E-2</c:v>
                </c:pt>
                <c:pt idx="4">
                  <c:v>0.2932518433981865</c:v>
                </c:pt>
                <c:pt idx="5">
                  <c:v>6.2477414379411088E-2</c:v>
                </c:pt>
                <c:pt idx="6" formatCode="0.00%">
                  <c:v>0.14630474073185823</c:v>
                </c:pt>
                <c:pt idx="7">
                  <c:v>4.0326437522612635E-3</c:v>
                </c:pt>
                <c:pt idx="8">
                  <c:v>5.4334472841834416E-2</c:v>
                </c:pt>
              </c:numCache>
            </c:numRef>
          </c:val>
        </c:ser>
        <c:ser>
          <c:idx val="5"/>
          <c:order val="5"/>
          <c:tx>
            <c:strRef>
              <c:f>'prodcution CFRP'!$A$14:$B$14</c:f>
              <c:strCache>
                <c:ptCount val="1"/>
                <c:pt idx="0">
                  <c:v>Resources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CFRP'!$C$14:$K$14</c:f>
              <c:numCache>
                <c:formatCode>General</c:formatCode>
                <c:ptCount val="9"/>
                <c:pt idx="0">
                  <c:v>0.27963154471350044</c:v>
                </c:pt>
                <c:pt idx="1">
                  <c:v>8.6136276836491305E-2</c:v>
                </c:pt>
                <c:pt idx="2">
                  <c:v>2.6086726997875324E-4</c:v>
                </c:pt>
                <c:pt idx="3">
                  <c:v>5.6391993542478959E-2</c:v>
                </c:pt>
                <c:pt idx="4">
                  <c:v>0.24053858527569072</c:v>
                </c:pt>
                <c:pt idx="5">
                  <c:v>9.8090473918445026E-2</c:v>
                </c:pt>
                <c:pt idx="6">
                  <c:v>0.17433454326699252</c:v>
                </c:pt>
                <c:pt idx="7">
                  <c:v>1.7398842823885519E-3</c:v>
                </c:pt>
                <c:pt idx="8">
                  <c:v>6.2875830894033452E-2</c:v>
                </c:pt>
              </c:numCache>
            </c:numRef>
          </c:val>
        </c:ser>
        <c:ser>
          <c:idx val="0"/>
          <c:order val="0"/>
          <c:tx>
            <c:strRef>
              <c:f>'prodcution CFRP'!$A$12:$B$12</c:f>
              <c:strCache>
                <c:ptCount val="1"/>
                <c:pt idx="0">
                  <c:v>Ecosystems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CFRP'!$C$12:$K$12</c:f>
              <c:numCache>
                <c:formatCode>General</c:formatCode>
                <c:ptCount val="9"/>
                <c:pt idx="0">
                  <c:v>0.26026882508700744</c:v>
                </c:pt>
                <c:pt idx="1">
                  <c:v>7.2920104987137802E-2</c:v>
                </c:pt>
                <c:pt idx="2">
                  <c:v>5.3964528766096975E-2</c:v>
                </c:pt>
                <c:pt idx="3">
                  <c:v>7.1840314262937827E-2</c:v>
                </c:pt>
                <c:pt idx="4">
                  <c:v>0.21629011656379044</c:v>
                </c:pt>
                <c:pt idx="5">
                  <c:v>5.3303673533725372E-2</c:v>
                </c:pt>
                <c:pt idx="6" formatCode="0.00%">
                  <c:v>0.17252295179795557</c:v>
                </c:pt>
                <c:pt idx="7">
                  <c:v>4.2774246031771282E-2</c:v>
                </c:pt>
                <c:pt idx="8">
                  <c:v>5.6115238969577E-2</c:v>
                </c:pt>
              </c:numCache>
            </c:numRef>
          </c:val>
        </c:ser>
        <c:ser>
          <c:idx val="1"/>
          <c:order val="1"/>
          <c:tx>
            <c:strRef>
              <c:f>'prodcution CFRP'!$A$13:$B$13</c:f>
              <c:strCache>
                <c:ptCount val="1"/>
                <c:pt idx="0">
                  <c:v>Human health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CFRP'!$C$13:$K$13</c:f>
              <c:numCache>
                <c:formatCode>General</c:formatCode>
                <c:ptCount val="9"/>
                <c:pt idx="0">
                  <c:v>0.26017486790955674</c:v>
                </c:pt>
                <c:pt idx="1">
                  <c:v>6.7284921869231143E-2</c:v>
                </c:pt>
                <c:pt idx="2">
                  <c:v>4.8195273670677198E-2</c:v>
                </c:pt>
                <c:pt idx="3">
                  <c:v>6.394382144698342E-2</c:v>
                </c:pt>
                <c:pt idx="4">
                  <c:v>0.2932518433981865</c:v>
                </c:pt>
                <c:pt idx="5">
                  <c:v>6.2477414379411088E-2</c:v>
                </c:pt>
                <c:pt idx="6" formatCode="0.00%">
                  <c:v>0.14630474073185823</c:v>
                </c:pt>
                <c:pt idx="7">
                  <c:v>4.0326437522612635E-3</c:v>
                </c:pt>
                <c:pt idx="8">
                  <c:v>5.4334472841834416E-2</c:v>
                </c:pt>
              </c:numCache>
            </c:numRef>
          </c:val>
        </c:ser>
        <c:ser>
          <c:idx val="2"/>
          <c:order val="2"/>
          <c:tx>
            <c:strRef>
              <c:f>'prodcution CFRP'!$A$14:$B$14</c:f>
              <c:strCache>
                <c:ptCount val="1"/>
                <c:pt idx="0">
                  <c:v>Resources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CFRP'!$C$14:$K$14</c:f>
              <c:numCache>
                <c:formatCode>General</c:formatCode>
                <c:ptCount val="9"/>
                <c:pt idx="0">
                  <c:v>0.27963154471350044</c:v>
                </c:pt>
                <c:pt idx="1">
                  <c:v>8.6136276836491305E-2</c:v>
                </c:pt>
                <c:pt idx="2">
                  <c:v>2.6086726997875324E-4</c:v>
                </c:pt>
                <c:pt idx="3">
                  <c:v>5.6391993542478959E-2</c:v>
                </c:pt>
                <c:pt idx="4">
                  <c:v>0.24053858527569072</c:v>
                </c:pt>
                <c:pt idx="5">
                  <c:v>9.8090473918445026E-2</c:v>
                </c:pt>
                <c:pt idx="6">
                  <c:v>0.17433454326699252</c:v>
                </c:pt>
                <c:pt idx="7">
                  <c:v>1.7398842823885519E-3</c:v>
                </c:pt>
                <c:pt idx="8">
                  <c:v>6.2875830894033452E-2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CFRP construciton -Resources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'prodcution CFRP'!$A$14:$B$14</c:f>
              <c:strCache>
                <c:ptCount val="1"/>
                <c:pt idx="0">
                  <c:v>Resources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CFRP'!$C$14:$K$14</c:f>
              <c:numCache>
                <c:formatCode>General</c:formatCode>
                <c:ptCount val="9"/>
                <c:pt idx="0">
                  <c:v>0.27963154471350044</c:v>
                </c:pt>
                <c:pt idx="1">
                  <c:v>8.6136276836491305E-2</c:v>
                </c:pt>
                <c:pt idx="2">
                  <c:v>2.6086726997875324E-4</c:v>
                </c:pt>
                <c:pt idx="3">
                  <c:v>5.6391993542478959E-2</c:v>
                </c:pt>
                <c:pt idx="4">
                  <c:v>0.24053858527569072</c:v>
                </c:pt>
                <c:pt idx="5">
                  <c:v>9.8090473918445026E-2</c:v>
                </c:pt>
                <c:pt idx="6">
                  <c:v>0.17433454326699252</c:v>
                </c:pt>
                <c:pt idx="7">
                  <c:v>1.7398842823885519E-3</c:v>
                </c:pt>
                <c:pt idx="8">
                  <c:v>6.2875830894033452E-2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Constuction</a:t>
            </a:r>
            <a:r>
              <a:rPr lang="da-DK" baseline="0"/>
              <a:t> no-expoxy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'polyster (no epoxy)'!$I$7</c:f>
              <c:strCache>
                <c:ptCount val="1"/>
                <c:pt idx="0">
                  <c:v>Consstrucion</c:v>
                </c:pt>
              </c:strCache>
            </c:strRef>
          </c:tx>
          <c:invertIfNegative val="0"/>
          <c:cat>
            <c:strRef>
              <c:f>('polyster (no epoxy)'!$A$8,'polyster (no epoxy)'!$A$9,'polyster (no epoxy)'!$A$10)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'polyster (no epoxy)'!$I$8:$I$10</c:f>
              <c:numCache>
                <c:formatCode>General</c:formatCode>
                <c:ptCount val="3"/>
                <c:pt idx="0">
                  <c:v>10132.876977089232</c:v>
                </c:pt>
                <c:pt idx="1">
                  <c:v>14176.958656943483</c:v>
                </c:pt>
                <c:pt idx="2">
                  <c:v>36324.000007293311</c:v>
                </c:pt>
              </c:numCache>
            </c:numRef>
          </c:val>
        </c:ser>
        <c:ser>
          <c:idx val="1"/>
          <c:order val="1"/>
          <c:tx>
            <c:strRef>
              <c:f>'polyster (no epoxy)'!$H$7</c:f>
              <c:strCache>
                <c:ptCount val="1"/>
                <c:pt idx="0">
                  <c:v>construcion no epoxy</c:v>
                </c:pt>
              </c:strCache>
            </c:strRef>
          </c:tx>
          <c:invertIfNegative val="0"/>
          <c:cat>
            <c:strRef>
              <c:f>('polyster (no epoxy)'!$A$8,'polyster (no epoxy)'!$A$9,'polyster (no epoxy)'!$A$10)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('polyster (no epoxy)'!$H$8,'polyster (no epoxy)'!$H$9,'polyster (no epoxy)'!$H$10)</c:f>
              <c:numCache>
                <c:formatCode>General</c:formatCode>
                <c:ptCount val="3"/>
                <c:pt idx="0">
                  <c:v>10507.359412723739</c:v>
                </c:pt>
                <c:pt idx="1">
                  <c:v>13418.386745432137</c:v>
                </c:pt>
                <c:pt idx="2">
                  <c:v>35966.211184347019</c:v>
                </c:pt>
              </c:numCache>
            </c:numRef>
          </c:val>
        </c:ser>
        <c:ser>
          <c:idx val="2"/>
          <c:order val="2"/>
          <c:tx>
            <c:strRef>
              <c:f>'polyster (no epoxy)'!$J$7</c:f>
              <c:strCache>
                <c:ptCount val="1"/>
              </c:strCache>
            </c:strRef>
          </c:tx>
          <c:invertIfNegative val="0"/>
          <c:val>
            <c:numRef>
              <c:f>('polyster (no epoxy)'!$J$8,'polyster (no epoxy)'!$J$9,'polyster (no epoxy)'!$J$10)</c:f>
              <c:numCache>
                <c:formatCode>0.00%</c:formatCode>
                <c:ptCount val="3"/>
                <c:pt idx="0">
                  <c:v>3.695716788837209E-2</c:v>
                </c:pt>
                <c:pt idx="1">
                  <c:v>-5.3507379817307889E-2</c:v>
                </c:pt>
                <c:pt idx="2">
                  <c:v>-9.8499290517138228E-3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7216"/>
        <c:axId val="143582336"/>
      </c:barChart>
      <c:catAx>
        <c:axId val="14349721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43582336"/>
        <c:crosses val="autoZero"/>
        <c:auto val="1"/>
        <c:lblAlgn val="ctr"/>
        <c:lblOffset val="100"/>
        <c:noMultiLvlLbl val="0"/>
      </c:catAx>
      <c:valAx>
        <c:axId val="14358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49721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0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Comparision</a:t>
            </a:r>
            <a:r>
              <a:rPr lang="da-DK" baseline="0"/>
              <a:t> at midpoint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Grafer!$E$232</c:f>
              <c:strCache>
                <c:ptCount val="1"/>
                <c:pt idx="0">
                  <c:v>Alumium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Grafer!$A$233:$A$249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Grafer!$E$233:$E$249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4"/>
          <c:order val="1"/>
          <c:tx>
            <c:strRef>
              <c:f>Grafer!$F$232</c:f>
              <c:strCache>
                <c:ptCount val="1"/>
                <c:pt idx="0">
                  <c:v>CFRP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Grafer!$A$233:$A$249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Grafer!$F$233:$F$249</c:f>
              <c:numCache>
                <c:formatCode>General</c:formatCode>
                <c:ptCount val="17"/>
                <c:pt idx="0">
                  <c:v>87.733797879942145</c:v>
                </c:pt>
                <c:pt idx="1">
                  <c:v>72.985936793089891</c:v>
                </c:pt>
                <c:pt idx="2">
                  <c:v>72.986126119022089</c:v>
                </c:pt>
                <c:pt idx="3">
                  <c:v>73.136427544945036</c:v>
                </c:pt>
                <c:pt idx="4">
                  <c:v>76.232208574699413</c:v>
                </c:pt>
                <c:pt idx="5">
                  <c:v>72.549040025974037</c:v>
                </c:pt>
                <c:pt idx="6">
                  <c:v>73.499113584775415</c:v>
                </c:pt>
                <c:pt idx="7">
                  <c:v>73.817797197704849</c:v>
                </c:pt>
                <c:pt idx="8">
                  <c:v>75.639042680967819</c:v>
                </c:pt>
                <c:pt idx="9">
                  <c:v>66.595471149357266</c:v>
                </c:pt>
                <c:pt idx="10">
                  <c:v>72.765123537240001</c:v>
                </c:pt>
                <c:pt idx="11">
                  <c:v>72.860071703342058</c:v>
                </c:pt>
                <c:pt idx="12">
                  <c:v>72.818307705944392</c:v>
                </c:pt>
                <c:pt idx="13">
                  <c:v>72.811147767881309</c:v>
                </c:pt>
                <c:pt idx="14">
                  <c:v>72.831032977517836</c:v>
                </c:pt>
                <c:pt idx="15">
                  <c:v>73.260919124694539</c:v>
                </c:pt>
                <c:pt idx="16">
                  <c:v>72.893336189969631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46720"/>
        <c:axId val="143584640"/>
      </c:barChart>
      <c:catAx>
        <c:axId val="14364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584640"/>
        <c:crosses val="autoZero"/>
        <c:auto val="1"/>
        <c:lblAlgn val="ctr"/>
        <c:lblOffset val="100"/>
        <c:noMultiLvlLbl val="0"/>
      </c:catAx>
      <c:valAx>
        <c:axId val="14358464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46720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2751531058616"/>
          <c:y val="7.4548702245552628E-2"/>
          <c:w val="0.6803180227471565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Sensiitivity!$B$52</c:f>
              <c:strCache>
                <c:ptCount val="1"/>
                <c:pt idx="0">
                  <c:v>Al 50 T</c:v>
                </c:pt>
              </c:strCache>
            </c:strRef>
          </c:tx>
          <c:invertIfNegative val="0"/>
          <c:cat>
            <c:strRef>
              <c:f>Sensiitivity!$A$53:$A$55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Sensiitivity!$B$53:$B$55</c:f>
              <c:numCache>
                <c:formatCode>0.00E+00</c:formatCode>
                <c:ptCount val="3"/>
                <c:pt idx="0">
                  <c:v>10068.921953739886</c:v>
                </c:pt>
                <c:pt idx="1">
                  <c:v>14323.087827262514</c:v>
                </c:pt>
                <c:pt idx="2">
                  <c:v>28499.925119306423</c:v>
                </c:pt>
              </c:numCache>
            </c:numRef>
          </c:val>
        </c:ser>
        <c:ser>
          <c:idx val="1"/>
          <c:order val="1"/>
          <c:tx>
            <c:strRef>
              <c:f>Sensiitivity!$C$52</c:f>
              <c:strCache>
                <c:ptCount val="1"/>
                <c:pt idx="0">
                  <c:v>Al</c:v>
                </c:pt>
              </c:strCache>
            </c:strRef>
          </c:tx>
          <c:invertIfNegative val="0"/>
          <c:cat>
            <c:strRef>
              <c:f>Sensiitivity!$A$53:$A$55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Sensiitivity!$C$53:$C$55</c:f>
              <c:numCache>
                <c:formatCode>0.00E+00</c:formatCode>
                <c:ptCount val="3"/>
                <c:pt idx="0">
                  <c:v>7646.0212389246581</c:v>
                </c:pt>
                <c:pt idx="1">
                  <c:v>10918.896350778416</c:v>
                </c:pt>
                <c:pt idx="2">
                  <c:v>22376.42297542583</c:v>
                </c:pt>
              </c:numCache>
            </c:numRef>
          </c:val>
        </c:ser>
        <c:ser>
          <c:idx val="2"/>
          <c:order val="2"/>
          <c:tx>
            <c:strRef>
              <c:f>Sensiitivity!$D$52</c:f>
              <c:strCache>
                <c:ptCount val="1"/>
                <c:pt idx="0">
                  <c:v>Al 30 T</c:v>
                </c:pt>
              </c:strCache>
            </c:strRef>
          </c:tx>
          <c:invertIfNegative val="0"/>
          <c:cat>
            <c:strRef>
              <c:f>Sensiitivity!$A$53:$A$55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Sensiitivity!$D$53:$D$55</c:f>
              <c:numCache>
                <c:formatCode>0.00E+00</c:formatCode>
                <c:ptCount val="3"/>
                <c:pt idx="0">
                  <c:v>6341.3823924856852</c:v>
                </c:pt>
                <c:pt idx="1">
                  <c:v>9085.8701711331341</c:v>
                </c:pt>
                <c:pt idx="2">
                  <c:v>19079.152590259382</c:v>
                </c:pt>
              </c:numCache>
            </c:numRef>
          </c:val>
        </c:ser>
        <c:ser>
          <c:idx val="3"/>
          <c:order val="3"/>
          <c:tx>
            <c:strRef>
              <c:f>Sensiitivity!$E$52</c:f>
              <c:strCache>
                <c:ptCount val="1"/>
                <c:pt idx="0">
                  <c:v>CFRP</c:v>
                </c:pt>
              </c:strCache>
            </c:strRef>
          </c:tx>
          <c:invertIfNegative val="0"/>
          <c:cat>
            <c:strRef>
              <c:f>Sensiitivity!$A$53:$A$55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Sensiitivity!$E$53:$E$55</c:f>
              <c:numCache>
                <c:formatCode>General</c:formatCode>
                <c:ptCount val="3"/>
                <c:pt idx="0">
                  <c:v>10132.876977089232</c:v>
                </c:pt>
                <c:pt idx="1">
                  <c:v>14176.958656943483</c:v>
                </c:pt>
                <c:pt idx="2">
                  <c:v>36324.000007293311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47232"/>
        <c:axId val="143586944"/>
      </c:barChart>
      <c:catAx>
        <c:axId val="14364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586944"/>
        <c:crosses val="autoZero"/>
        <c:auto val="1"/>
        <c:lblAlgn val="ctr"/>
        <c:lblOffset val="100"/>
        <c:noMultiLvlLbl val="0"/>
      </c:catAx>
      <c:valAx>
        <c:axId val="14358694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4364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CFRP construction resources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'prodcution CFRP'!$C$2:$V$2</c:f>
              <c:strCache>
                <c:ptCount val="20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building, bulk iron (excluding reinforcement), to sorting plant</c:v>
                </c:pt>
                <c:pt idx="3">
                  <c:v>CH: disposal, polyethylene, 0.4% water, to municipal incineration</c:v>
                </c:pt>
                <c:pt idx="4">
                  <c:v>CH: disposal, polyvinylchloride, 0.2% water, to sanitary landfill</c:v>
                </c:pt>
                <c:pt idx="5">
                  <c:v>CH: disposal, wood untreated, 20% water, to municipal incineration</c:v>
                </c:pt>
                <c:pt idx="6">
                  <c:v>DK: Powermix</c:v>
                </c:pt>
                <c:pt idx="7">
                  <c:v>DK: Structure prodution at Tuco &lt;u-so&gt;</c:v>
                </c:pt>
                <c:pt idx="8">
                  <c:v>RER: acetone, liquid, at plant</c:v>
                </c:pt>
                <c:pt idx="9">
                  <c:v>RER: acrylic filler, at plant</c:v>
                </c:pt>
                <c:pt idx="10">
                  <c:v>RER: cumene, at plant</c:v>
                </c:pt>
                <c:pt idx="11">
                  <c:v>RER: epoxy resin, liquid, at plant</c:v>
                </c:pt>
                <c:pt idx="12">
                  <c:v>RER: gas motor 206kW</c:v>
                </c:pt>
                <c:pt idx="13">
                  <c:v>RER: natural gas, burned in industrial furnace low-NOx &gt;100kW</c:v>
                </c:pt>
                <c:pt idx="14">
                  <c:v>RER: plywood, indoor use, at plant</c:v>
                </c:pt>
                <c:pt idx="15">
                  <c:v>RER: polyester resin, unsaturated, at plant</c:v>
                </c:pt>
                <c:pt idx="16">
                  <c:v>RER: polystyrene, general purpose, GPPS, at plant</c:v>
                </c:pt>
                <c:pt idx="17">
                  <c:v>RER: transport, barge</c:v>
                </c:pt>
                <c:pt idx="18">
                  <c:v>RER: transport, lorry 16-32t, EURO5</c:v>
                </c:pt>
                <c:pt idx="19">
                  <c:v>Other</c:v>
                </c:pt>
              </c:strCache>
            </c:strRef>
          </c:cat>
          <c:val>
            <c:numRef>
              <c:f>'prodcution CFRP'!$C$5:$V$5</c:f>
              <c:numCache>
                <c:formatCode>General</c:formatCode>
                <c:ptCount val="20"/>
                <c:pt idx="0">
                  <c:v>10158.050703471958</c:v>
                </c:pt>
                <c:pt idx="1">
                  <c:v>3129.0342025247642</c:v>
                </c:pt>
                <c:pt idx="2">
                  <c:v>2.5550452831584018</c:v>
                </c:pt>
                <c:pt idx="3">
                  <c:v>9.4764092442984946</c:v>
                </c:pt>
                <c:pt idx="4">
                  <c:v>2.4024446482301904</c:v>
                </c:pt>
                <c:pt idx="5">
                  <c:v>0.59217479962827901</c:v>
                </c:pt>
                <c:pt idx="6" formatCode="0.00E+00">
                  <c:v>2048.5268579453959</c:v>
                </c:pt>
                <c:pt idx="7">
                  <c:v>0</c:v>
                </c:pt>
                <c:pt idx="8">
                  <c:v>197.84118295342114</c:v>
                </c:pt>
                <c:pt idx="9">
                  <c:v>23.524364615409862</c:v>
                </c:pt>
                <c:pt idx="10">
                  <c:v>156.65475779314366</c:v>
                </c:pt>
                <c:pt idx="11">
                  <c:v>8737.9381602862268</c:v>
                </c:pt>
                <c:pt idx="12">
                  <c:v>3563.2890009317048</c:v>
                </c:pt>
                <c:pt idx="13" formatCode="0.00E+00">
                  <c:v>6332.9733835541692</c:v>
                </c:pt>
                <c:pt idx="14">
                  <c:v>63.204002169300146</c:v>
                </c:pt>
                <c:pt idx="15">
                  <c:v>476.51345823448133</c:v>
                </c:pt>
                <c:pt idx="16">
                  <c:v>962.87564787465647</c:v>
                </c:pt>
                <c:pt idx="17">
                  <c:v>47.921722363065321</c:v>
                </c:pt>
                <c:pt idx="18">
                  <c:v>413.18153388339704</c:v>
                </c:pt>
                <c:pt idx="19">
                  <c:v>5410.5414896901966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CFRP construction ecosystems</a:t>
            </a:r>
          </a:p>
        </c:rich>
      </c:tx>
      <c:layout>
        <c:manualLayout>
          <c:xMode val="edge"/>
          <c:yMode val="edge"/>
          <c:x val="0.25928344812001042"/>
          <c:y val="0.15672715374160676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'prodcution CFRP'!$C$2:$U$2</c:f>
              <c:strCache>
                <c:ptCount val="1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building, bulk iron (excluding reinforcement), to sorting plant</c:v>
                </c:pt>
                <c:pt idx="3">
                  <c:v>CH: disposal, polyethylene, 0.4% water, to municipal incineration</c:v>
                </c:pt>
                <c:pt idx="4">
                  <c:v>CH: disposal, polyvinylchloride, 0.2% water, to sanitary landfill</c:v>
                </c:pt>
                <c:pt idx="5">
                  <c:v>CH: disposal, wood untreated, 20% water, to municipal incineration</c:v>
                </c:pt>
                <c:pt idx="6">
                  <c:v>DK: Powermix</c:v>
                </c:pt>
                <c:pt idx="7">
                  <c:v>DK: Structure prodution at Tuco &lt;u-so&gt;</c:v>
                </c:pt>
                <c:pt idx="8">
                  <c:v>RER: acetone, liquid, at plant</c:v>
                </c:pt>
                <c:pt idx="9">
                  <c:v>RER: acrylic filler, at plant</c:v>
                </c:pt>
                <c:pt idx="10">
                  <c:v>RER: cumene, at plant</c:v>
                </c:pt>
                <c:pt idx="11">
                  <c:v>RER: epoxy resin, liquid, at plant</c:v>
                </c:pt>
                <c:pt idx="12">
                  <c:v>RER: gas motor 206kW</c:v>
                </c:pt>
                <c:pt idx="13">
                  <c:v>RER: natural gas, burned in industrial furnace low-NOx &gt;100kW</c:v>
                </c:pt>
                <c:pt idx="14">
                  <c:v>RER: plywood, indoor use, at plant</c:v>
                </c:pt>
                <c:pt idx="15">
                  <c:v>RER: polyester resin, unsaturated, at plant</c:v>
                </c:pt>
                <c:pt idx="16">
                  <c:v>RER: polystyrene, general purpose, GPPS, at plant</c:v>
                </c:pt>
                <c:pt idx="17">
                  <c:v>RER: transport, barge</c:v>
                </c:pt>
                <c:pt idx="18">
                  <c:v>RER: transport, lorry 16-32t, EURO5</c:v>
                </c:pt>
              </c:strCache>
            </c:strRef>
          </c:cat>
          <c:val>
            <c:numRef>
              <c:f>'prodcution CFRP'!$C$3:$U$3</c:f>
              <c:numCache>
                <c:formatCode>General</c:formatCode>
                <c:ptCount val="19"/>
                <c:pt idx="0">
                  <c:v>2637.4878883003112</c:v>
                </c:pt>
                <c:pt idx="1">
                  <c:v>738.95094294473745</c:v>
                </c:pt>
                <c:pt idx="2">
                  <c:v>0.82953739095116863</c:v>
                </c:pt>
                <c:pt idx="3">
                  <c:v>546.86069670785025</c:v>
                </c:pt>
                <c:pt idx="4">
                  <c:v>2.5009673549623557</c:v>
                </c:pt>
                <c:pt idx="5">
                  <c:v>21.50507650230546</c:v>
                </c:pt>
                <c:pt idx="6" formatCode="0.00E+00">
                  <c:v>728.00866064863681</c:v>
                </c:pt>
                <c:pt idx="7">
                  <c:v>6.8165362869236296E-3</c:v>
                </c:pt>
                <c:pt idx="8">
                  <c:v>31.347730094647041</c:v>
                </c:pt>
                <c:pt idx="9">
                  <c:v>4.7243629208809645</c:v>
                </c:pt>
                <c:pt idx="10">
                  <c:v>22.485259593607523</c:v>
                </c:pt>
                <c:pt idx="11">
                  <c:v>2191.8205632401618</c:v>
                </c:pt>
                <c:pt idx="12" formatCode="0.00E+00">
                  <c:v>540.16378373443786</c:v>
                </c:pt>
                <c:pt idx="13" formatCode="0.00E+00">
                  <c:v>1748.2969605322933</c:v>
                </c:pt>
                <c:pt idx="14">
                  <c:v>433.46165566413885</c:v>
                </c:pt>
                <c:pt idx="15">
                  <c:v>145.92506792553272</c:v>
                </c:pt>
                <c:pt idx="16">
                  <c:v>185.16515569230381</c:v>
                </c:pt>
                <c:pt idx="17">
                  <c:v>21.854757507212632</c:v>
                </c:pt>
                <c:pt idx="18">
                  <c:v>132.31063118892422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10 years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226904742157782"/>
          <c:y val="0.15441595780069381"/>
          <c:w val="0.7428924575317607"/>
          <c:h val="0.77981395238321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 years-scenarie'!$D$48</c:f>
              <c:strCache>
                <c:ptCount val="1"/>
                <c:pt idx="0">
                  <c:v>Total AL</c:v>
                </c:pt>
              </c:strCache>
            </c:strRef>
          </c:tx>
          <c:invertIfNegative val="0"/>
          <c:cat>
            <c:strRef>
              <c:f>'10 years-scenarie'!$C$49:$C$51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'10 years-scenarie'!$D$49:$D$51</c:f>
              <c:numCache>
                <c:formatCode>0.00E+00</c:formatCode>
                <c:ptCount val="3"/>
                <c:pt idx="0">
                  <c:v>823002.77606777253</c:v>
                </c:pt>
                <c:pt idx="1">
                  <c:v>1539883.9603243393</c:v>
                </c:pt>
                <c:pt idx="2">
                  <c:v>2304293.0296428702</c:v>
                </c:pt>
              </c:numCache>
            </c:numRef>
          </c:val>
        </c:ser>
        <c:ser>
          <c:idx val="1"/>
          <c:order val="1"/>
          <c:tx>
            <c:strRef>
              <c:f>'10 years-scenarie'!$E$48</c:f>
              <c:strCache>
                <c:ptCount val="1"/>
                <c:pt idx="0">
                  <c:v>Total CFRP</c:v>
                </c:pt>
              </c:strCache>
            </c:strRef>
          </c:tx>
          <c:invertIfNegative val="0"/>
          <c:cat>
            <c:strRef>
              <c:f>'10 years-scenarie'!$C$49:$C$51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'10 years-scenarie'!$E$49:$E$51</c:f>
              <c:numCache>
                <c:formatCode>0.00E+00</c:formatCode>
                <c:ptCount val="3"/>
                <c:pt idx="0">
                  <c:v>604191.52413287933</c:v>
                </c:pt>
                <c:pt idx="1">
                  <c:v>1127745.2558939378</c:v>
                </c:pt>
                <c:pt idx="2">
                  <c:v>1699419.5946414685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67808"/>
        <c:axId val="143993088"/>
      </c:barChart>
      <c:catAx>
        <c:axId val="142967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993088"/>
        <c:crosses val="autoZero"/>
        <c:auto val="1"/>
        <c:lblAlgn val="ctr"/>
        <c:lblOffset val="100"/>
        <c:noMultiLvlLbl val="0"/>
      </c:catAx>
      <c:valAx>
        <c:axId val="143993088"/>
        <c:scaling>
          <c:orientation val="minMax"/>
        </c:scaling>
        <c:delete val="0"/>
        <c:axPos val="l"/>
        <c:majorGridlines/>
        <c:numFmt formatCode="0.00E+00" sourceLinked="1"/>
        <c:majorTickMark val="none"/>
        <c:minorTickMark val="none"/>
        <c:tickLblPos val="nextTo"/>
        <c:crossAx val="14296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CFRP construction- time varies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'CFRP korteres produtionstid'!$B$31</c:f>
              <c:strCache>
                <c:ptCount val="1"/>
                <c:pt idx="0">
                  <c:v>2,5 month</c:v>
                </c:pt>
              </c:strCache>
            </c:strRef>
          </c:tx>
          <c:invertIfNegative val="0"/>
          <c:cat>
            <c:strRef>
              <c:f>'CFRP korteres produtionstid'!$A$32:$A$34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'CFRP korteres produtionstid'!$B$32:$B$34</c:f>
              <c:numCache>
                <c:formatCode>General</c:formatCode>
                <c:ptCount val="3"/>
                <c:pt idx="0">
                  <c:v>9009.8013255665683</c:v>
                </c:pt>
                <c:pt idx="1">
                  <c:v>12844.646530944765</c:v>
                </c:pt>
                <c:pt idx="2">
                  <c:v>32255.35787743445</c:v>
                </c:pt>
              </c:numCache>
            </c:numRef>
          </c:val>
        </c:ser>
        <c:ser>
          <c:idx val="1"/>
          <c:order val="1"/>
          <c:tx>
            <c:strRef>
              <c:f>'CFRP korteres produtionstid'!$C$31</c:f>
              <c:strCache>
                <c:ptCount val="1"/>
                <c:pt idx="0">
                  <c:v>4 month</c:v>
                </c:pt>
              </c:strCache>
            </c:strRef>
          </c:tx>
          <c:invertIfNegative val="0"/>
          <c:cat>
            <c:strRef>
              <c:f>'CFRP korteres produtionstid'!$A$32:$A$34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'CFRP korteres produtionstid'!$C$32:$C$34</c:f>
              <c:numCache>
                <c:formatCode>General</c:formatCode>
                <c:ptCount val="3"/>
                <c:pt idx="0">
                  <c:v>9384.4363885377734</c:v>
                </c:pt>
                <c:pt idx="1">
                  <c:v>13289.145754866882</c:v>
                </c:pt>
                <c:pt idx="2">
                  <c:v>33612.423602481766</c:v>
                </c:pt>
              </c:numCache>
            </c:numRef>
          </c:val>
        </c:ser>
        <c:ser>
          <c:idx val="2"/>
          <c:order val="2"/>
          <c:tx>
            <c:strRef>
              <c:f>'CFRP korteres produtionstid'!$D$31</c:f>
              <c:strCache>
                <c:ptCount val="1"/>
                <c:pt idx="0">
                  <c:v>7 months</c:v>
                </c:pt>
              </c:strCache>
            </c:strRef>
          </c:tx>
          <c:invertIfNegative val="0"/>
          <c:cat>
            <c:strRef>
              <c:f>'CFRP korteres produtionstid'!$A$32:$A$34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'CFRP korteres produtionstid'!$D$32:$D$34</c:f>
              <c:numCache>
                <c:formatCode>General</c:formatCode>
                <c:ptCount val="3"/>
                <c:pt idx="0">
                  <c:v>10133.706514480185</c:v>
                </c:pt>
                <c:pt idx="1">
                  <c:v>14178.144202711117</c:v>
                </c:pt>
                <c:pt idx="2">
                  <c:v>36326.555052576419</c:v>
                </c:pt>
              </c:numCache>
            </c:numRef>
          </c:val>
        </c:ser>
        <c:ser>
          <c:idx val="3"/>
          <c:order val="3"/>
          <c:tx>
            <c:strRef>
              <c:f>'CFRP korteres produtionstid'!$E$31</c:f>
              <c:strCache>
                <c:ptCount val="1"/>
                <c:pt idx="0">
                  <c:v>Al</c:v>
                </c:pt>
              </c:strCache>
            </c:strRef>
          </c:tx>
          <c:invertIfNegative val="0"/>
          <c:cat>
            <c:strRef>
              <c:f>'CFRP korteres produtionstid'!$A$32:$A$34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'CFRP korteres produtionstid'!$E$32:$E$34</c:f>
              <c:numCache>
                <c:formatCode>General</c:formatCode>
                <c:ptCount val="3"/>
                <c:pt idx="0">
                  <c:v>7646.0212389246581</c:v>
                </c:pt>
                <c:pt idx="1">
                  <c:v>10918.896350778416</c:v>
                </c:pt>
                <c:pt idx="2">
                  <c:v>22376.42297542583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28608"/>
        <c:axId val="143995392"/>
      </c:barChart>
      <c:catAx>
        <c:axId val="1466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995392"/>
        <c:crosses val="autoZero"/>
        <c:auto val="1"/>
        <c:lblAlgn val="ctr"/>
        <c:lblOffset val="100"/>
        <c:noMultiLvlLbl val="0"/>
      </c:catAx>
      <c:valAx>
        <c:axId val="14399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62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LCC analysis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[1]LCC!$B$8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[1]LCC!$C$7:$D$7</c:f>
              <c:strCache>
                <c:ptCount val="2"/>
                <c:pt idx="0">
                  <c:v>CFRP</c:v>
                </c:pt>
                <c:pt idx="1">
                  <c:v>Aluminium</c:v>
                </c:pt>
              </c:strCache>
            </c:strRef>
          </c:cat>
          <c:val>
            <c:numRef>
              <c:f>[1]LCC!$C$8:$D$8</c:f>
              <c:numCache>
                <c:formatCode>General</c:formatCode>
                <c:ptCount val="2"/>
                <c:pt idx="0">
                  <c:v>53.333333333333336</c:v>
                </c:pt>
                <c:pt idx="1">
                  <c:v>44.44444444444445</c:v>
                </c:pt>
              </c:numCache>
            </c:numRef>
          </c:val>
        </c:ser>
        <c:ser>
          <c:idx val="1"/>
          <c:order val="1"/>
          <c:tx>
            <c:strRef>
              <c:f>[1]LCC!$B$9</c:f>
              <c:strCache>
                <c:ptCount val="1"/>
                <c:pt idx="0">
                  <c:v>Maintenance</c:v>
                </c:pt>
              </c:strCache>
            </c:strRef>
          </c:tx>
          <c:invertIfNegative val="0"/>
          <c:cat>
            <c:strRef>
              <c:f>[1]LCC!$C$7:$D$7</c:f>
              <c:strCache>
                <c:ptCount val="2"/>
                <c:pt idx="0">
                  <c:v>CFRP</c:v>
                </c:pt>
                <c:pt idx="1">
                  <c:v>Aluminium</c:v>
                </c:pt>
              </c:strCache>
            </c:strRef>
          </c:cat>
          <c:val>
            <c:numRef>
              <c:f>[1]LCC!$C$9:$D$9</c:f>
              <c:numCache>
                <c:formatCode>General</c:formatCode>
                <c:ptCount val="2"/>
                <c:pt idx="0">
                  <c:v>3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[1]LCC!$B$10</c:f>
              <c:strCache>
                <c:ptCount val="1"/>
                <c:pt idx="0">
                  <c:v>Operation</c:v>
                </c:pt>
              </c:strCache>
            </c:strRef>
          </c:tx>
          <c:invertIfNegative val="0"/>
          <c:cat>
            <c:strRef>
              <c:f>[1]LCC!$C$7:$D$7</c:f>
              <c:strCache>
                <c:ptCount val="2"/>
                <c:pt idx="0">
                  <c:v>CFRP</c:v>
                </c:pt>
                <c:pt idx="1">
                  <c:v>Aluminium</c:v>
                </c:pt>
              </c:strCache>
            </c:strRef>
          </c:cat>
          <c:val>
            <c:numRef>
              <c:f>[1]LCC!$C$10:$D$10</c:f>
              <c:numCache>
                <c:formatCode>0.00E+00</c:formatCode>
                <c:ptCount val="2"/>
                <c:pt idx="0">
                  <c:v>185.31317494600432</c:v>
                </c:pt>
                <c:pt idx="1">
                  <c:v>254.80561555075587</c:v>
                </c:pt>
              </c:numCache>
            </c:numRef>
          </c:val>
        </c:ser>
        <c:ser>
          <c:idx val="3"/>
          <c:order val="3"/>
          <c:tx>
            <c:strRef>
              <c:f>[1]LCC!$B$11</c:f>
              <c:strCache>
                <c:ptCount val="1"/>
                <c:pt idx="0">
                  <c:v>Disposal</c:v>
                </c:pt>
              </c:strCache>
            </c:strRef>
          </c:tx>
          <c:invertIfNegative val="0"/>
          <c:cat>
            <c:strRef>
              <c:f>[1]LCC!$C$7:$D$7</c:f>
              <c:strCache>
                <c:ptCount val="2"/>
                <c:pt idx="0">
                  <c:v>CFRP</c:v>
                </c:pt>
                <c:pt idx="1">
                  <c:v>Aluminium</c:v>
                </c:pt>
              </c:strCache>
            </c:strRef>
          </c:cat>
          <c:val>
            <c:numRef>
              <c:f>[1]LCC!$C$11:$D$11</c:f>
              <c:numCache>
                <c:formatCode>General</c:formatCode>
                <c:ptCount val="2"/>
                <c:pt idx="0">
                  <c:v>1.1900000000000001E-2</c:v>
                </c:pt>
                <c:pt idx="1">
                  <c:v>-7.3999999999999996E-2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791488"/>
        <c:axId val="137367488"/>
      </c:barChart>
      <c:catAx>
        <c:axId val="1377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367488"/>
        <c:crosses val="autoZero"/>
        <c:auto val="1"/>
        <c:lblAlgn val="ctr"/>
        <c:lblOffset val="100"/>
        <c:noMultiLvlLbl val="0"/>
      </c:catAx>
      <c:valAx>
        <c:axId val="137367488"/>
        <c:scaling>
          <c:orientation val="minMax"/>
          <c:max val="3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NOK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79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Construction</a:t>
            </a:r>
            <a:r>
              <a:rPr lang="da-DK" baseline="0"/>
              <a:t> Weigthed Al/CFRP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scenarios'!$P$38</c:f>
              <c:strCache>
                <c:ptCount val="1"/>
                <c:pt idx="0">
                  <c:v>AL</c:v>
                </c:pt>
              </c:strCache>
            </c:strRef>
          </c:tx>
          <c:invertIfNegative val="0"/>
          <c:cat>
            <c:strRef>
              <c:f>'basic scenarios'!$C$44:$C$46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'basic scenarios'!$P$44:$P$46</c:f>
              <c:numCache>
                <c:formatCode>0.00E+00</c:formatCode>
                <c:ptCount val="3"/>
                <c:pt idx="0">
                  <c:v>7646.0212389246581</c:v>
                </c:pt>
                <c:pt idx="1">
                  <c:v>10918.896350778416</c:v>
                </c:pt>
                <c:pt idx="2">
                  <c:v>22376.42297542583</c:v>
                </c:pt>
              </c:numCache>
            </c:numRef>
          </c:val>
        </c:ser>
        <c:ser>
          <c:idx val="1"/>
          <c:order val="1"/>
          <c:tx>
            <c:strRef>
              <c:f>'basic scenarios'!$Q$38</c:f>
              <c:strCache>
                <c:ptCount val="1"/>
                <c:pt idx="0">
                  <c:v>CFRP</c:v>
                </c:pt>
              </c:strCache>
            </c:strRef>
          </c:tx>
          <c:invertIfNegative val="0"/>
          <c:cat>
            <c:strRef>
              <c:f>'basic scenarios'!$C$44:$C$46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'basic scenarios'!$Q$44:$Q$46</c:f>
              <c:numCache>
                <c:formatCode>0.00E+00</c:formatCode>
                <c:ptCount val="3"/>
                <c:pt idx="0">
                  <c:v>10132.876977089232</c:v>
                </c:pt>
                <c:pt idx="1">
                  <c:v>14176.958656943483</c:v>
                </c:pt>
                <c:pt idx="2">
                  <c:v>36324.000007293311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49856"/>
        <c:axId val="142420224"/>
      </c:barChart>
      <c:catAx>
        <c:axId val="13304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420224"/>
        <c:crosses val="autoZero"/>
        <c:auto val="1"/>
        <c:lblAlgn val="ctr"/>
        <c:lblOffset val="100"/>
        <c:noMultiLvlLbl val="0"/>
      </c:catAx>
      <c:valAx>
        <c:axId val="14242022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3304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Break-even point analysis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CFRP</c:v>
          </c:tx>
          <c:marker>
            <c:symbol val="none"/>
          </c:marker>
          <c:cat>
            <c:numRef>
              <c:f>[1]LCC!$B$19:$B$50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[1]LCC!$C$19:$C$50</c:f>
              <c:numCache>
                <c:formatCode>0.00E+00</c:formatCode>
                <c:ptCount val="32"/>
                <c:pt idx="0" formatCode="General">
                  <c:v>53.333333333333336</c:v>
                </c:pt>
                <c:pt idx="1">
                  <c:v>59.610439164866818</c:v>
                </c:pt>
                <c:pt idx="2">
                  <c:v>65.887544996400294</c:v>
                </c:pt>
                <c:pt idx="3">
                  <c:v>72.16465082793377</c:v>
                </c:pt>
                <c:pt idx="4">
                  <c:v>78.441756659467245</c:v>
                </c:pt>
                <c:pt idx="5">
                  <c:v>84.718862491000721</c:v>
                </c:pt>
                <c:pt idx="6">
                  <c:v>90.995968322534196</c:v>
                </c:pt>
                <c:pt idx="7">
                  <c:v>97.273074154067672</c:v>
                </c:pt>
                <c:pt idx="8">
                  <c:v>103.55017998560115</c:v>
                </c:pt>
                <c:pt idx="9">
                  <c:v>109.82728581713462</c:v>
                </c:pt>
                <c:pt idx="10">
                  <c:v>116.1043916486681</c:v>
                </c:pt>
                <c:pt idx="11">
                  <c:v>122.38149748020157</c:v>
                </c:pt>
                <c:pt idx="12">
                  <c:v>128.65860331173505</c:v>
                </c:pt>
                <c:pt idx="13">
                  <c:v>134.93570914326853</c:v>
                </c:pt>
                <c:pt idx="14">
                  <c:v>141.212814974802</c:v>
                </c:pt>
                <c:pt idx="15">
                  <c:v>147.48992080633548</c:v>
                </c:pt>
                <c:pt idx="16">
                  <c:v>153.76702663786895</c:v>
                </c:pt>
                <c:pt idx="17">
                  <c:v>160.04413246940243</c:v>
                </c:pt>
                <c:pt idx="18">
                  <c:v>166.3212383009359</c:v>
                </c:pt>
                <c:pt idx="19">
                  <c:v>172.59834413246938</c:v>
                </c:pt>
                <c:pt idx="20">
                  <c:v>178.87544996400285</c:v>
                </c:pt>
                <c:pt idx="21">
                  <c:v>185.15255579553633</c:v>
                </c:pt>
                <c:pt idx="22">
                  <c:v>191.42966162706981</c:v>
                </c:pt>
                <c:pt idx="23">
                  <c:v>197.70676745860328</c:v>
                </c:pt>
                <c:pt idx="24">
                  <c:v>203.98387329013676</c:v>
                </c:pt>
                <c:pt idx="25">
                  <c:v>210.26097912167023</c:v>
                </c:pt>
                <c:pt idx="26">
                  <c:v>216.53808495320371</c:v>
                </c:pt>
                <c:pt idx="27">
                  <c:v>222.81519078473718</c:v>
                </c:pt>
                <c:pt idx="28">
                  <c:v>229.09229661627066</c:v>
                </c:pt>
                <c:pt idx="29">
                  <c:v>235.36940244780413</c:v>
                </c:pt>
                <c:pt idx="30">
                  <c:v>241.65840827933761</c:v>
                </c:pt>
                <c:pt idx="31">
                  <c:v>247.93551411087108</c:v>
                </c:pt>
              </c:numCache>
            </c:numRef>
          </c:val>
          <c:smooth val="0"/>
        </c:ser>
        <c:ser>
          <c:idx val="1"/>
          <c:order val="1"/>
          <c:tx>
            <c:v>Aluminium</c:v>
          </c:tx>
          <c:marker>
            <c:symbol val="none"/>
          </c:marker>
          <c:cat>
            <c:numRef>
              <c:f>[1]LCC!$B$19:$B$50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[1]LCC!$D$19:$D$50</c:f>
              <c:numCache>
                <c:formatCode>0.00E+00</c:formatCode>
                <c:ptCount val="32"/>
                <c:pt idx="0" formatCode="General">
                  <c:v>44.44444444444445</c:v>
                </c:pt>
                <c:pt idx="1">
                  <c:v>53.137964962802982</c:v>
                </c:pt>
                <c:pt idx="2">
                  <c:v>61.831485481161515</c:v>
                </c:pt>
                <c:pt idx="3">
                  <c:v>70.525005999520047</c:v>
                </c:pt>
                <c:pt idx="4">
                  <c:v>79.218526517878587</c:v>
                </c:pt>
                <c:pt idx="5">
                  <c:v>87.912047036237112</c:v>
                </c:pt>
                <c:pt idx="6">
                  <c:v>96.605567554595638</c:v>
                </c:pt>
                <c:pt idx="7">
                  <c:v>105.29908807295416</c:v>
                </c:pt>
                <c:pt idx="8">
                  <c:v>113.99260859131269</c:v>
                </c:pt>
                <c:pt idx="9">
                  <c:v>122.68612910967121</c:v>
                </c:pt>
                <c:pt idx="10">
                  <c:v>131.37964962802974</c:v>
                </c:pt>
                <c:pt idx="11">
                  <c:v>140.07317014638826</c:v>
                </c:pt>
                <c:pt idx="12">
                  <c:v>148.76669066474679</c:v>
                </c:pt>
                <c:pt idx="13">
                  <c:v>157.46021118310532</c:v>
                </c:pt>
                <c:pt idx="14">
                  <c:v>166.15373170146384</c:v>
                </c:pt>
                <c:pt idx="15">
                  <c:v>174.84725221982237</c:v>
                </c:pt>
                <c:pt idx="16">
                  <c:v>183.54077273818089</c:v>
                </c:pt>
                <c:pt idx="17">
                  <c:v>192.23429325653942</c:v>
                </c:pt>
                <c:pt idx="18">
                  <c:v>200.92781377489794</c:v>
                </c:pt>
                <c:pt idx="19">
                  <c:v>209.62133429325647</c:v>
                </c:pt>
                <c:pt idx="20">
                  <c:v>218.31485481161499</c:v>
                </c:pt>
                <c:pt idx="21">
                  <c:v>227.00837532997352</c:v>
                </c:pt>
                <c:pt idx="22">
                  <c:v>235.70189584833204</c:v>
                </c:pt>
                <c:pt idx="23">
                  <c:v>244.39541636669057</c:v>
                </c:pt>
                <c:pt idx="24">
                  <c:v>253.08893688504909</c:v>
                </c:pt>
                <c:pt idx="25">
                  <c:v>261.78245740340759</c:v>
                </c:pt>
                <c:pt idx="26">
                  <c:v>270.47597792176612</c:v>
                </c:pt>
                <c:pt idx="27">
                  <c:v>279.16949844012464</c:v>
                </c:pt>
                <c:pt idx="28">
                  <c:v>287.86301895848317</c:v>
                </c:pt>
                <c:pt idx="29">
                  <c:v>296.55653947684169</c:v>
                </c:pt>
                <c:pt idx="30">
                  <c:v>305.17605999520021</c:v>
                </c:pt>
                <c:pt idx="31">
                  <c:v>313.86958051355873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30144"/>
        <c:axId val="137370944"/>
      </c:lineChart>
      <c:catAx>
        <c:axId val="14663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370944"/>
        <c:crosses val="autoZero"/>
        <c:auto val="1"/>
        <c:lblAlgn val="ctr"/>
        <c:lblOffset val="100"/>
        <c:noMultiLvlLbl val="0"/>
      </c:catAx>
      <c:valAx>
        <c:axId val="13737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million NOK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3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0849691354741E-2"/>
          <c:y val="3.5868771742489647E-2"/>
          <c:w val="0.83476385043658496"/>
          <c:h val="0.91946566050337863"/>
        </c:manualLayout>
      </c:layout>
      <c:lineChart>
        <c:grouping val="standard"/>
        <c:varyColors val="0"/>
        <c:ser>
          <c:idx val="0"/>
          <c:order val="0"/>
          <c:tx>
            <c:strRef>
              <c:f>'basic scenarios'!$T$43</c:f>
              <c:strCache>
                <c:ptCount val="1"/>
                <c:pt idx="0">
                  <c:v>Al</c:v>
                </c:pt>
              </c:strCache>
            </c:strRef>
          </c:tx>
          <c:cat>
            <c:numRef>
              <c:f>'basic scenarios'!$S$44:$S$45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cat>
          <c:val>
            <c:numRef>
              <c:f>'basic scenarios'!$T$44:$T$45</c:f>
              <c:numCache>
                <c:formatCode>0.00E+00</c:formatCode>
                <c:ptCount val="2"/>
                <c:pt idx="0">
                  <c:v>7646.0212389246581</c:v>
                </c:pt>
                <c:pt idx="1">
                  <c:v>2455864.6776606599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'basic scenarios'!$U$43</c:f>
              <c:strCache>
                <c:ptCount val="1"/>
                <c:pt idx="0">
                  <c:v>CFRP</c:v>
                </c:pt>
              </c:strCache>
            </c:strRef>
          </c:tx>
          <c:cat>
            <c:numRef>
              <c:f>'basic scenarios'!$S$44:$S$45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cat>
          <c:val>
            <c:numRef>
              <c:f>'basic scenarios'!$U$44:$U$45</c:f>
              <c:numCache>
                <c:formatCode>0.00E+00</c:formatCode>
                <c:ptCount val="2"/>
                <c:pt idx="0">
                  <c:v>10132.876977089232</c:v>
                </c:pt>
                <c:pt idx="1">
                  <c:v>1792191.7015949949</c:v>
                </c:pt>
              </c:numCache>
            </c:numRef>
          </c:val>
          <c:smooth val="0"/>
        </c:ser>
        <c:ser>
          <c:idx val="2"/>
          <c:order val="2"/>
          <c:tx>
            <c:v>Al resourceses</c:v>
          </c:tx>
          <c:val>
            <c:numRef>
              <c:f>('basic scenarios'!$Z$44,'basic scenarios'!$Z$45)</c:f>
              <c:numCache>
                <c:formatCode>0.00E+00</c:formatCode>
                <c:ptCount val="2"/>
                <c:pt idx="0">
                  <c:v>22376.42297542583</c:v>
                </c:pt>
                <c:pt idx="1">
                  <c:v>6875664.229485793</c:v>
                </c:pt>
              </c:numCache>
            </c:numRef>
          </c:val>
          <c:smooth val="0"/>
        </c:ser>
        <c:ser>
          <c:idx val="3"/>
          <c:order val="3"/>
          <c:tx>
            <c:v>CFRP resourceses</c:v>
          </c:tx>
          <c:val>
            <c:numRef>
              <c:f>('basic scenarios'!$AA$44,'basic scenarios'!$AA$45)</c:f>
              <c:numCache>
                <c:formatCode>0.00E+00</c:formatCode>
                <c:ptCount val="2"/>
                <c:pt idx="0">
                  <c:v>36324.000007293311</c:v>
                </c:pt>
                <c:pt idx="1">
                  <c:v>5025539.6995469397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92352"/>
        <c:axId val="142422528"/>
      </c:lineChart>
      <c:catAx>
        <c:axId val="1426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422528"/>
        <c:crosses val="autoZero"/>
        <c:auto val="1"/>
        <c:lblAlgn val="ctr"/>
        <c:lblOffset val="100"/>
        <c:noMultiLvlLbl val="0"/>
      </c:catAx>
      <c:valAx>
        <c:axId val="14242252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4269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Endpooint</a:t>
            </a:r>
            <a:r>
              <a:rPr lang="da-DK" baseline="0"/>
              <a:t> weighted 30 years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Grafer!$L$37</c:f>
              <c:strCache>
                <c:ptCount val="1"/>
                <c:pt idx="0">
                  <c:v>Total AL</c:v>
                </c:pt>
              </c:strCache>
            </c:strRef>
          </c:tx>
          <c:invertIfNegative val="0"/>
          <c:cat>
            <c:strRef>
              <c:f>Grafer!$K$38:$K$40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Grafer!$L$38:$L$40</c:f>
              <c:numCache>
                <c:formatCode>0.00E+00</c:formatCode>
                <c:ptCount val="3"/>
                <c:pt idx="0">
                  <c:v>2455864.6776606599</c:v>
                </c:pt>
                <c:pt idx="1">
                  <c:v>4600602.4021228421</c:v>
                </c:pt>
                <c:pt idx="2">
                  <c:v>6875664.229485793</c:v>
                </c:pt>
              </c:numCache>
            </c:numRef>
          </c:val>
        </c:ser>
        <c:ser>
          <c:idx val="1"/>
          <c:order val="1"/>
          <c:tx>
            <c:strRef>
              <c:f>Grafer!$M$37</c:f>
              <c:strCache>
                <c:ptCount val="1"/>
                <c:pt idx="0">
                  <c:v>Total CFRP</c:v>
                </c:pt>
              </c:strCache>
            </c:strRef>
          </c:tx>
          <c:invertIfNegative val="0"/>
          <c:cat>
            <c:strRef>
              <c:f>Grafer!$K$38:$K$40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Grafer!$M$38:$M$40</c:f>
              <c:numCache>
                <c:formatCode>0.00E+00</c:formatCode>
                <c:ptCount val="3"/>
                <c:pt idx="0">
                  <c:v>1792191.7015949949</c:v>
                </c:pt>
                <c:pt idx="1">
                  <c:v>3354515.4723829161</c:v>
                </c:pt>
                <c:pt idx="2">
                  <c:v>5025539.6995469397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93888"/>
        <c:axId val="142424832"/>
      </c:barChart>
      <c:catAx>
        <c:axId val="14269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424832"/>
        <c:crosses val="autoZero"/>
        <c:auto val="1"/>
        <c:lblAlgn val="ctr"/>
        <c:lblOffset val="100"/>
        <c:noMultiLvlLbl val="0"/>
      </c:catAx>
      <c:valAx>
        <c:axId val="14242483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42693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Aluminium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'basic scenarios'!$E$5</c:f>
              <c:strCache>
                <c:ptCount val="1"/>
                <c:pt idx="0">
                  <c:v>End of Life</c:v>
                </c:pt>
              </c:strCache>
            </c:strRef>
          </c:tx>
          <c:invertIfNegative val="0"/>
          <c:cat>
            <c:strRef>
              <c:f>'basic scenarios'!$C$6:$C$22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'basic scenarios'!$E$6:$E$22</c:f>
              <c:numCache>
                <c:formatCode>General</c:formatCode>
                <c:ptCount val="17"/>
                <c:pt idx="0" formatCode="0.00E+00">
                  <c:v>-1.85421554256514E-5</c:v>
                </c:pt>
                <c:pt idx="1">
                  <c:v>-4.22236439296965E-4</c:v>
                </c:pt>
                <c:pt idx="2">
                  <c:v>-7.4562339003626396E-2</c:v>
                </c:pt>
                <c:pt idx="3">
                  <c:v>-307527.783447675</c:v>
                </c:pt>
                <c:pt idx="4" formatCode="0.00E+00">
                  <c:v>-1.9151340086324701E-8</c:v>
                </c:pt>
                <c:pt idx="5" formatCode="0.00E+00">
                  <c:v>-1.8370677260531501E-8</c:v>
                </c:pt>
                <c:pt idx="6">
                  <c:v>-1.0860764150273699E-3</c:v>
                </c:pt>
                <c:pt idx="7">
                  <c:v>-50.561042566100802</c:v>
                </c:pt>
                <c:pt idx="8" formatCode="0.00E+00">
                  <c:v>-5.8592165192242698E-11</c:v>
                </c:pt>
                <c:pt idx="9">
                  <c:v>-794.221906312589</c:v>
                </c:pt>
                <c:pt idx="10" formatCode="0.00E+00">
                  <c:v>-2.7448945393557098E-5</c:v>
                </c:pt>
                <c:pt idx="11" formatCode="0.00E+00">
                  <c:v>-1.3706218638671099E-5</c:v>
                </c:pt>
                <c:pt idx="12">
                  <c:v>-1.8156119197121401E-2</c:v>
                </c:pt>
                <c:pt idx="13" formatCode="0.00E+00">
                  <c:v>-4.4311195952593901E-6</c:v>
                </c:pt>
                <c:pt idx="14" formatCode="0.00E+00">
                  <c:v>-1.21745305409776E-6</c:v>
                </c:pt>
                <c:pt idx="15" formatCode="0.00E+00">
                  <c:v>-2.1826050498645499E-7</c:v>
                </c:pt>
                <c:pt idx="16" formatCode="0.00E+00">
                  <c:v>-1.63728410522214E-5</c:v>
                </c:pt>
              </c:numCache>
            </c:numRef>
          </c:val>
        </c:ser>
        <c:ser>
          <c:idx val="2"/>
          <c:order val="1"/>
          <c:tx>
            <c:strRef>
              <c:f>'basic scenarios'!$F$5</c:f>
              <c:strCache>
                <c:ptCount val="1"/>
                <c:pt idx="0">
                  <c:v>Operation</c:v>
                </c:pt>
              </c:strCache>
            </c:strRef>
          </c:tx>
          <c:invertIfNegative val="0"/>
          <c:cat>
            <c:strRef>
              <c:f>'basic scenarios'!$C$6:$C$22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'basic scenarios'!$F$6:$F$22</c:f>
              <c:numCache>
                <c:formatCode>General</c:formatCode>
                <c:ptCount val="17"/>
                <c:pt idx="0">
                  <c:v>9.6446470455256999E-4</c:v>
                </c:pt>
                <c:pt idx="1">
                  <c:v>0.981457642266511</c:v>
                </c:pt>
                <c:pt idx="2">
                  <c:v>173.276119616827</c:v>
                </c:pt>
                <c:pt idx="3">
                  <c:v>699871301.50364697</c:v>
                </c:pt>
                <c:pt idx="4" formatCode="0.00E+00">
                  <c:v>1.42260858518593E-5</c:v>
                </c:pt>
                <c:pt idx="5" formatCode="0.00E+00">
                  <c:v>1.33922746046421E-5</c:v>
                </c:pt>
                <c:pt idx="6">
                  <c:v>0.99040363367226103</c:v>
                </c:pt>
                <c:pt idx="7">
                  <c:v>14049.5540313203</c:v>
                </c:pt>
                <c:pt idx="8" formatCode="0.00E+00">
                  <c:v>5.0758221269959298E-8</c:v>
                </c:pt>
                <c:pt idx="9">
                  <c:v>41198.6327216313</c:v>
                </c:pt>
                <c:pt idx="10">
                  <c:v>0.11447373886462001</c:v>
                </c:pt>
                <c:pt idx="11">
                  <c:v>4.16949701756043E-2</c:v>
                </c:pt>
                <c:pt idx="12">
                  <c:v>134.74948445247199</c:v>
                </c:pt>
                <c:pt idx="13">
                  <c:v>6.0810394470836401E-2</c:v>
                </c:pt>
                <c:pt idx="14">
                  <c:v>6.0058501774651503E-3</c:v>
                </c:pt>
                <c:pt idx="15">
                  <c:v>1.1083898447551001E-3</c:v>
                </c:pt>
                <c:pt idx="16">
                  <c:v>4.2672607295904698E-3</c:v>
                </c:pt>
              </c:numCache>
            </c:numRef>
          </c:val>
        </c:ser>
        <c:ser>
          <c:idx val="3"/>
          <c:order val="2"/>
          <c:tx>
            <c:strRef>
              <c:f>'basic scenarios'!$G$5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'basic scenarios'!$C$6:$C$22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'basic scenarios'!$G$6:$G$22</c:f>
              <c:numCache>
                <c:formatCode>0.00E+00</c:formatCode>
                <c:ptCount val="17"/>
                <c:pt idx="0">
                  <c:v>-2.25805253770948E-6</c:v>
                </c:pt>
                <c:pt idx="1">
                  <c:v>8.8836765114795306E-5</c:v>
                </c:pt>
                <c:pt idx="2" formatCode="General">
                  <c:v>1.56779982401162E-2</c:v>
                </c:pt>
                <c:pt idx="3" formatCode="General">
                  <c:v>95607.521952078605</c:v>
                </c:pt>
                <c:pt idx="4">
                  <c:v>1.3198130004388099E-7</c:v>
                </c:pt>
                <c:pt idx="5">
                  <c:v>4.3330246508252899E-8</c:v>
                </c:pt>
                <c:pt idx="6" formatCode="General">
                  <c:v>7.8169497822539802E-4</c:v>
                </c:pt>
                <c:pt idx="7" formatCode="General">
                  <c:v>9.1325302183933399</c:v>
                </c:pt>
                <c:pt idx="8">
                  <c:v>3.9887313762216998E-10</c:v>
                </c:pt>
                <c:pt idx="9" formatCode="General">
                  <c:v>2082.0837113593402</c:v>
                </c:pt>
                <c:pt idx="10">
                  <c:v>-3.5466053909032402E-7</c:v>
                </c:pt>
                <c:pt idx="11">
                  <c:v>4.0981578584531501E-7</c:v>
                </c:pt>
                <c:pt idx="12" formatCode="General">
                  <c:v>1.7646347565276499E-2</c:v>
                </c:pt>
                <c:pt idx="13">
                  <c:v>1.49526081884803E-6</c:v>
                </c:pt>
                <c:pt idx="14">
                  <c:v>7.1634969124678802E-8</c:v>
                </c:pt>
                <c:pt idx="15">
                  <c:v>5.3217774175651798E-8</c:v>
                </c:pt>
                <c:pt idx="16">
                  <c:v>-1.66517899188179E-6</c:v>
                </c:pt>
              </c:numCache>
            </c:numRef>
          </c:val>
        </c:ser>
        <c:ser>
          <c:idx val="4"/>
          <c:order val="3"/>
          <c:tx>
            <c:strRef>
              <c:f>'basic scenarios'!$H$5</c:f>
              <c:strCache>
                <c:ptCount val="1"/>
                <c:pt idx="0">
                  <c:v>Raw materials</c:v>
                </c:pt>
              </c:strCache>
            </c:strRef>
          </c:tx>
          <c:invertIfNegative val="0"/>
          <c:cat>
            <c:strRef>
              <c:f>'basic scenarios'!$C$6:$C$22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'basic scenarios'!$H$6:$H$22</c:f>
              <c:numCache>
                <c:formatCode>General</c:formatCode>
                <c:ptCount val="17"/>
                <c:pt idx="0" formatCode="0.00E+00">
                  <c:v>8.8949467440073199E-5</c:v>
                </c:pt>
                <c:pt idx="1">
                  <c:v>3.1314188764267501E-3</c:v>
                </c:pt>
                <c:pt idx="2">
                  <c:v>0.55261743861791301</c:v>
                </c:pt>
                <c:pt idx="3">
                  <c:v>1414869.2293267499</c:v>
                </c:pt>
                <c:pt idx="4" formatCode="0.00E+00">
                  <c:v>2.2735392129705601E-7</c:v>
                </c:pt>
                <c:pt idx="5" formatCode="0.00E+00">
                  <c:v>3.1007952574980802E-7</c:v>
                </c:pt>
                <c:pt idx="6">
                  <c:v>1.2349466990913899E-2</c:v>
                </c:pt>
                <c:pt idx="7">
                  <c:v>474.55680923697997</c:v>
                </c:pt>
                <c:pt idx="8" formatCode="0.00E+00">
                  <c:v>6.9875400955224896E-10</c:v>
                </c:pt>
                <c:pt idx="9">
                  <c:v>5786.2763639562299</c:v>
                </c:pt>
                <c:pt idx="10" formatCode="0.00E+00">
                  <c:v>1.0442578633068101E-4</c:v>
                </c:pt>
                <c:pt idx="11" formatCode="0.00E+00">
                  <c:v>4.8995143148290003E-5</c:v>
                </c:pt>
                <c:pt idx="12">
                  <c:v>0.13556884064362901</c:v>
                </c:pt>
                <c:pt idx="13" formatCode="0.00E+00">
                  <c:v>2.9311023797656199E-5</c:v>
                </c:pt>
                <c:pt idx="14" formatCode="0.00E+00">
                  <c:v>7.4943879631785599E-6</c:v>
                </c:pt>
                <c:pt idx="15" formatCode="0.00E+00">
                  <c:v>1.6140860551054599E-6</c:v>
                </c:pt>
                <c:pt idx="16" formatCode="0.00E+00">
                  <c:v>4.0524437987458801E-5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694912"/>
        <c:axId val="142795904"/>
      </c:barChart>
      <c:catAx>
        <c:axId val="1426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795904"/>
        <c:crosses val="autoZero"/>
        <c:auto val="1"/>
        <c:lblAlgn val="ctr"/>
        <c:lblOffset val="100"/>
        <c:noMultiLvlLbl val="0"/>
      </c:catAx>
      <c:valAx>
        <c:axId val="142795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694912"/>
        <c:crosses val="autoZero"/>
        <c:crossBetween val="between"/>
      </c:valAx>
    </c:plotArea>
    <c:legend>
      <c:legendPos val="r"/>
      <c:overlay val="0"/>
      <c:spPr>
        <a:effectLst>
          <a:outerShdw blurRad="50800" dist="50800" dir="5400000" algn="ctr" rotWithShape="0">
            <a:schemeClr val="tx1"/>
          </a:outerShdw>
        </a:effectLst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CFRP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Grafer!$B$80</c:f>
              <c:strCache>
                <c:ptCount val="1"/>
                <c:pt idx="0">
                  <c:v>End of Life</c:v>
                </c:pt>
              </c:strCache>
            </c:strRef>
          </c:tx>
          <c:invertIfNegative val="0"/>
          <c:cat>
            <c:strRef>
              <c:f>Grafer!$A$81:$A$97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Grafer!$B$81:$B$97</c:f>
              <c:numCache>
                <c:formatCode>0.00E+00</c:formatCode>
                <c:ptCount val="17"/>
                <c:pt idx="0">
                  <c:v>1.2304986583539201E-7</c:v>
                </c:pt>
                <c:pt idx="1">
                  <c:v>2.5307868158581601E-5</c:v>
                </c:pt>
                <c:pt idx="2">
                  <c:v>4.4719287527746803E-3</c:v>
                </c:pt>
                <c:pt idx="3">
                  <c:v>3445.7012042435499</c:v>
                </c:pt>
                <c:pt idx="4">
                  <c:v>4.7685246479247003E-7</c:v>
                </c:pt>
                <c:pt idx="5">
                  <c:v>1.2412453655796999E-10</c:v>
                </c:pt>
                <c:pt idx="6">
                  <c:v>7.5756939240089497E-3</c:v>
                </c:pt>
                <c:pt idx="7">
                  <c:v>0.48994942806311997</c:v>
                </c:pt>
                <c:pt idx="8">
                  <c:v>1.43603837478078E-9</c:v>
                </c:pt>
                <c:pt idx="9">
                  <c:v>2.0341005300703401</c:v>
                </c:pt>
                <c:pt idx="10">
                  <c:v>-1.7320706204758299E-6</c:v>
                </c:pt>
                <c:pt idx="11">
                  <c:v>2.4388748002601001E-7</c:v>
                </c:pt>
                <c:pt idx="12">
                  <c:v>2.85200860758254E-4</c:v>
                </c:pt>
                <c:pt idx="13">
                  <c:v>1.6225142348880399E-7</c:v>
                </c:pt>
                <c:pt idx="14">
                  <c:v>1.32883468390128E-8</c:v>
                </c:pt>
                <c:pt idx="15">
                  <c:v>2.32998524068193E-8</c:v>
                </c:pt>
                <c:pt idx="16">
                  <c:v>2.2782159536255599E-6</c:v>
                </c:pt>
              </c:numCache>
            </c:numRef>
          </c:val>
        </c:ser>
        <c:ser>
          <c:idx val="1"/>
          <c:order val="1"/>
          <c:tx>
            <c:strRef>
              <c:f>Grafer!$C$80</c:f>
              <c:strCache>
                <c:ptCount val="1"/>
                <c:pt idx="0">
                  <c:v>Operation</c:v>
                </c:pt>
              </c:strCache>
            </c:strRef>
          </c:tx>
          <c:invertIfNegative val="0"/>
          <c:cat>
            <c:strRef>
              <c:f>Grafer!$A$81:$A$97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Grafer!$C$81:$C$97</c:f>
              <c:numCache>
                <c:formatCode>0.00E+00</c:formatCode>
                <c:ptCount val="17"/>
                <c:pt idx="0">
                  <c:v>7.0214856402244495E-4</c:v>
                </c:pt>
                <c:pt idx="1">
                  <c:v>0.71408107539659404</c:v>
                </c:pt>
                <c:pt idx="2">
                  <c:v>126.07085342710999</c:v>
                </c:pt>
                <c:pt idx="3">
                  <c:v>509224408.21751398</c:v>
                </c:pt>
                <c:pt idx="4">
                  <c:v>1.03545460559434E-5</c:v>
                </c:pt>
                <c:pt idx="5">
                  <c:v>9.7484508724519704E-6</c:v>
                </c:pt>
                <c:pt idx="6">
                  <c:v>0.72079394109602801</c:v>
                </c:pt>
                <c:pt idx="7">
                  <c:v>10248.078093177601</c:v>
                </c:pt>
                <c:pt idx="8">
                  <c:v>3.6940470328754401E-8</c:v>
                </c:pt>
                <c:pt idx="9">
                  <c:v>29980.878239657799</c:v>
                </c:pt>
                <c:pt idx="10">
                  <c:v>8.3271549766116906E-2</c:v>
                </c:pt>
                <c:pt idx="11">
                  <c:v>3.0331140126645999E-2</c:v>
                </c:pt>
                <c:pt idx="12">
                  <c:v>98.027329200817604</c:v>
                </c:pt>
                <c:pt idx="13">
                  <c:v>4.4237084013616902E-2</c:v>
                </c:pt>
                <c:pt idx="14">
                  <c:v>4.3692073716595503E-3</c:v>
                </c:pt>
                <c:pt idx="15">
                  <c:v>8.0660747489523402E-4</c:v>
                </c:pt>
                <c:pt idx="16">
                  <c:v>3.10439756473128E-3</c:v>
                </c:pt>
              </c:numCache>
            </c:numRef>
          </c:val>
        </c:ser>
        <c:ser>
          <c:idx val="2"/>
          <c:order val="2"/>
          <c:tx>
            <c:strRef>
              <c:f>Grafer!$D$80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Grafer!$A$81:$A$97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Grafer!$D$81:$D$97</c:f>
              <c:numCache>
                <c:formatCode>0.00E+00</c:formatCode>
                <c:ptCount val="17"/>
                <c:pt idx="0">
                  <c:v>2.0982022235165799E-5</c:v>
                </c:pt>
                <c:pt idx="1">
                  <c:v>1.54264424269683E-3</c:v>
                </c:pt>
                <c:pt idx="2">
                  <c:v>0.272369271732046</c:v>
                </c:pt>
                <c:pt idx="3">
                  <c:v>1046013.8959410799</c:v>
                </c:pt>
                <c:pt idx="4">
                  <c:v>2.17539877525027E-7</c:v>
                </c:pt>
                <c:pt idx="5">
                  <c:v>4.38308871664202E-8</c:v>
                </c:pt>
                <c:pt idx="6">
                  <c:v>3.9232494976339299E-3</c:v>
                </c:pt>
                <c:pt idx="7">
                  <c:v>60.447294391905601</c:v>
                </c:pt>
                <c:pt idx="8">
                  <c:v>6.7335615314917798E-10</c:v>
                </c:pt>
                <c:pt idx="9">
                  <c:v>1865.1812205687099</c:v>
                </c:pt>
                <c:pt idx="10">
                  <c:v>5.5935169715287599E-5</c:v>
                </c:pt>
                <c:pt idx="11">
                  <c:v>4.5500173458369902E-5</c:v>
                </c:pt>
                <c:pt idx="12">
                  <c:v>3.4244987125053798E-2</c:v>
                </c:pt>
                <c:pt idx="13">
                  <c:v>1.3237230202352E-5</c:v>
                </c:pt>
                <c:pt idx="14">
                  <c:v>1.4841874619662201E-6</c:v>
                </c:pt>
                <c:pt idx="15">
                  <c:v>1.36677977220622E-6</c:v>
                </c:pt>
                <c:pt idx="16">
                  <c:v>1.0487522082302699E-5</c:v>
                </c:pt>
              </c:numCache>
            </c:numRef>
          </c:val>
        </c:ser>
        <c:ser>
          <c:idx val="3"/>
          <c:order val="3"/>
          <c:tx>
            <c:strRef>
              <c:f>Grafer!$E$80</c:f>
              <c:strCache>
                <c:ptCount val="1"/>
                <c:pt idx="0">
                  <c:v>Raw materials</c:v>
                </c:pt>
              </c:strCache>
            </c:strRef>
          </c:tx>
          <c:invertIfNegative val="0"/>
          <c:cat>
            <c:strRef>
              <c:f>Grafer!$A$81:$A$97</c:f>
              <c:strCache>
                <c:ptCount val="17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  <c:pt idx="16">
                  <c:v> Urban land occupation [species.yr]</c:v>
                </c:pt>
              </c:strCache>
            </c:strRef>
          </c:cat>
          <c:val>
            <c:numRef>
              <c:f>Grafer!$E$81:$E$97</c:f>
              <c:numCache>
                <c:formatCode>0.00E+00</c:formatCode>
                <c:ptCount val="17"/>
                <c:pt idx="0">
                  <c:v>1.8269781195806101E-4</c:v>
                </c:pt>
                <c:pt idx="1">
                  <c:v>2.7191874545458498E-3</c:v>
                </c:pt>
                <c:pt idx="2">
                  <c:v>0.48018923158198801</c:v>
                </c:pt>
                <c:pt idx="3">
                  <c:v>2466793.4176797098</c:v>
                </c:pt>
                <c:pt idx="4">
                  <c:v>5.5250726239784798E-8</c:v>
                </c:pt>
                <c:pt idx="5">
                  <c:v>1.6662842628759901E-7</c:v>
                </c:pt>
                <c:pt idx="6">
                  <c:v>4.4980382556453003E-3</c:v>
                </c:pt>
                <c:pt idx="7">
                  <c:v>381.78173282802402</c:v>
                </c:pt>
                <c:pt idx="8">
                  <c:v>1.29083907291978E-10</c:v>
                </c:pt>
                <c:pt idx="9">
                  <c:v>299.38565071118802</c:v>
                </c:pt>
                <c:pt idx="10">
                  <c:v>2.69588615500756E-5</c:v>
                </c:pt>
                <c:pt idx="11">
                  <c:v>2.8111106824443001E-5</c:v>
                </c:pt>
                <c:pt idx="12">
                  <c:v>0.158782560429262</c:v>
                </c:pt>
                <c:pt idx="13">
                  <c:v>4.5466741527062601E-5</c:v>
                </c:pt>
                <c:pt idx="14">
                  <c:v>8.0416048831902498E-6</c:v>
                </c:pt>
                <c:pt idx="15">
                  <c:v>5.0806156904037197E-6</c:v>
                </c:pt>
                <c:pt idx="16">
                  <c:v>9.7765071842586001E-6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695936"/>
        <c:axId val="142798208"/>
      </c:barChart>
      <c:catAx>
        <c:axId val="14269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798208"/>
        <c:crosses val="autoZero"/>
        <c:auto val="1"/>
        <c:lblAlgn val="ctr"/>
        <c:lblOffset val="100"/>
        <c:noMultiLvlLbl val="0"/>
      </c:catAx>
      <c:valAx>
        <c:axId val="142798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69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Construction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'basic scenarios'!$P$4:$P$5</c:f>
              <c:strCache>
                <c:ptCount val="1"/>
                <c:pt idx="0">
                  <c:v>Construction AL</c:v>
                </c:pt>
              </c:strCache>
            </c:strRef>
          </c:tx>
          <c:invertIfNegative val="0"/>
          <c:cat>
            <c:strRef>
              <c:f>'basic scenarios'!$C$6:$C$21</c:f>
              <c:strCache>
                <c:ptCount val="16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</c:strCache>
            </c:strRef>
          </c:cat>
          <c:val>
            <c:numRef>
              <c:f>'basic scenarios'!$P$6:$P$21</c:f>
              <c:numCache>
                <c:formatCode>0.00E+00</c:formatCode>
                <c:ptCount val="16"/>
                <c:pt idx="0">
                  <c:v>8.6691414902363714E-5</c:v>
                </c:pt>
                <c:pt idx="1">
                  <c:v>3.2202556415415456E-3</c:v>
                </c:pt>
                <c:pt idx="2">
                  <c:v>0.56829543685802919</c:v>
                </c:pt>
                <c:pt idx="3">
                  <c:v>1510476.7512788286</c:v>
                </c:pt>
                <c:pt idx="4">
                  <c:v>3.5933522134093697E-7</c:v>
                </c:pt>
                <c:pt idx="5">
                  <c:v>3.5340977225806093E-7</c:v>
                </c:pt>
                <c:pt idx="6">
                  <c:v>1.3131161969139297E-2</c:v>
                </c:pt>
                <c:pt idx="7">
                  <c:v>483.68933945537333</c:v>
                </c:pt>
                <c:pt idx="8">
                  <c:v>1.0976271471744188E-9</c:v>
                </c:pt>
                <c:pt idx="9">
                  <c:v>7868.3600753155697</c:v>
                </c:pt>
                <c:pt idx="10">
                  <c:v>1.0407112579159069E-4</c:v>
                </c:pt>
                <c:pt idx="11">
                  <c:v>4.9404958934135321E-5</c:v>
                </c:pt>
                <c:pt idx="12">
                  <c:v>0.15321518820890551</c:v>
                </c:pt>
                <c:pt idx="13">
                  <c:v>3.080628461650423E-5</c:v>
                </c:pt>
                <c:pt idx="14">
                  <c:v>7.5660229323032385E-6</c:v>
                </c:pt>
                <c:pt idx="15">
                  <c:v>1.6673038292811117E-6</c:v>
                </c:pt>
              </c:numCache>
            </c:numRef>
          </c:val>
        </c:ser>
        <c:ser>
          <c:idx val="1"/>
          <c:order val="1"/>
          <c:tx>
            <c:strRef>
              <c:f>'basic scenarios'!$Q$4:$Q$5</c:f>
              <c:strCache>
                <c:ptCount val="1"/>
                <c:pt idx="0">
                  <c:v>Construction CFRP</c:v>
                </c:pt>
              </c:strCache>
            </c:strRef>
          </c:tx>
          <c:invertIfNegative val="0"/>
          <c:cat>
            <c:strRef>
              <c:f>'basic scenarios'!$C$6:$C$21</c:f>
              <c:strCache>
                <c:ptCount val="16"/>
                <c:pt idx="0">
                  <c:v> Agricultural land occupation [species.yr]</c:v>
                </c:pt>
                <c:pt idx="1">
                  <c:v> Climate change Ecosystems [species.yr]</c:v>
                </c:pt>
                <c:pt idx="2">
                  <c:v> Climate change Human Health [DALY]</c:v>
                </c:pt>
                <c:pt idx="3">
                  <c:v> Fossil depletion [$]</c:v>
                </c:pt>
                <c:pt idx="4">
                  <c:v> Freshwater ecotoxicity [species.yr]</c:v>
                </c:pt>
                <c:pt idx="5">
                  <c:v> Freshwater eutrophication [species.yr]</c:v>
                </c:pt>
                <c:pt idx="6">
                  <c:v> Human toxicity [DALY]</c:v>
                </c:pt>
                <c:pt idx="7">
                  <c:v> Ionising radiation [DALY]</c:v>
                </c:pt>
                <c:pt idx="8">
                  <c:v> Marine ecotoxicity [species.yr]</c:v>
                </c:pt>
                <c:pt idx="9">
                  <c:v> Metal depletion [$]</c:v>
                </c:pt>
                <c:pt idx="10">
                  <c:v> Natural land transformation [species.yr]</c:v>
                </c:pt>
                <c:pt idx="11">
                  <c:v> Ozone depletion [DALY]</c:v>
                </c:pt>
                <c:pt idx="12">
                  <c:v> Particulate matter formation [DALY]</c:v>
                </c:pt>
                <c:pt idx="13">
                  <c:v> Photochemical oxidant formation [DALY]</c:v>
                </c:pt>
                <c:pt idx="14">
                  <c:v> Terrestrial acidification [species.yr]</c:v>
                </c:pt>
                <c:pt idx="15">
                  <c:v> Terrestrial ecotoxicity [species.yr]</c:v>
                </c:pt>
              </c:strCache>
            </c:strRef>
          </c:cat>
          <c:val>
            <c:numRef>
              <c:f>'basic scenarios'!$Q$6:$Q$21</c:f>
              <c:numCache>
                <c:formatCode>0.00E+00</c:formatCode>
                <c:ptCount val="16"/>
                <c:pt idx="0">
                  <c:v>2.0367983419322682E-4</c:v>
                </c:pt>
                <c:pt idx="1">
                  <c:v>4.26183169724268E-3</c:v>
                </c:pt>
                <c:pt idx="2">
                  <c:v>0.75255850331403407</c:v>
                </c:pt>
                <c:pt idx="3">
                  <c:v>3512807.3136207899</c:v>
                </c:pt>
                <c:pt idx="4">
                  <c:v>2.7279060376481179E-7</c:v>
                </c:pt>
                <c:pt idx="5">
                  <c:v>2.104593134540192E-7</c:v>
                </c:pt>
                <c:pt idx="6">
                  <c:v>8.4212877532792302E-3</c:v>
                </c:pt>
                <c:pt idx="7">
                  <c:v>442.22902721992961</c:v>
                </c:pt>
                <c:pt idx="8">
                  <c:v>8.0244006044115592E-10</c:v>
                </c:pt>
                <c:pt idx="9">
                  <c:v>2164.5668712798979</c:v>
                </c:pt>
                <c:pt idx="10">
                  <c:v>8.2894031265363206E-5</c:v>
                </c:pt>
                <c:pt idx="11">
                  <c:v>7.3611280282812907E-5</c:v>
                </c:pt>
                <c:pt idx="12">
                  <c:v>0.19302754755431581</c:v>
                </c:pt>
                <c:pt idx="13">
                  <c:v>5.8703971729414602E-5</c:v>
                </c:pt>
                <c:pt idx="14">
                  <c:v>9.5257923451564707E-6</c:v>
                </c:pt>
                <c:pt idx="15">
                  <c:v>6.4473954626099393E-6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95680"/>
        <c:axId val="142800512"/>
      </c:barChart>
      <c:catAx>
        <c:axId val="14349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2800512"/>
        <c:crosses val="autoZero"/>
        <c:auto val="1"/>
        <c:lblAlgn val="ctr"/>
        <c:lblOffset val="100"/>
        <c:noMultiLvlLbl val="0"/>
      </c:catAx>
      <c:valAx>
        <c:axId val="142800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49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Weighted 30 years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Grafer!$B$122</c:f>
              <c:strCache>
                <c:ptCount val="1"/>
                <c:pt idx="0">
                  <c:v>Total AL</c:v>
                </c:pt>
              </c:strCache>
            </c:strRef>
          </c:tx>
          <c:invertIfNegative val="0"/>
          <c:cat>
            <c:strRef>
              <c:f>Grafer!$A$123:$A$125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Grafer!$B$123:$B$125</c:f>
              <c:numCache>
                <c:formatCode>0.00E+00</c:formatCode>
                <c:ptCount val="3"/>
                <c:pt idx="0">
                  <c:v>2455864.6776606599</c:v>
                </c:pt>
                <c:pt idx="1">
                  <c:v>4600602.4021228421</c:v>
                </c:pt>
                <c:pt idx="2">
                  <c:v>6875664.229485793</c:v>
                </c:pt>
              </c:numCache>
            </c:numRef>
          </c:val>
        </c:ser>
        <c:ser>
          <c:idx val="1"/>
          <c:order val="1"/>
          <c:tx>
            <c:strRef>
              <c:f>Grafer!$C$122</c:f>
              <c:strCache>
                <c:ptCount val="1"/>
                <c:pt idx="0">
                  <c:v>Total CFRP</c:v>
                </c:pt>
              </c:strCache>
            </c:strRef>
          </c:tx>
          <c:invertIfNegative val="0"/>
          <c:cat>
            <c:strRef>
              <c:f>Grafer!$A$123:$A$125</c:f>
              <c:strCache>
                <c:ptCount val="3"/>
                <c:pt idx="0">
                  <c:v>Ecosystems</c:v>
                </c:pt>
                <c:pt idx="1">
                  <c:v>Human health</c:v>
                </c:pt>
                <c:pt idx="2">
                  <c:v>Resources</c:v>
                </c:pt>
              </c:strCache>
            </c:strRef>
          </c:cat>
          <c:val>
            <c:numRef>
              <c:f>Grafer!$C$123:$C$125</c:f>
              <c:numCache>
                <c:formatCode>0.00E+00</c:formatCode>
                <c:ptCount val="3"/>
                <c:pt idx="0">
                  <c:v>1792191.7015949949</c:v>
                </c:pt>
                <c:pt idx="1">
                  <c:v>3354515.4723829161</c:v>
                </c:pt>
                <c:pt idx="2">
                  <c:v>5025539.6995469397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96192"/>
        <c:axId val="143179776"/>
      </c:barChart>
      <c:catAx>
        <c:axId val="14349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79776"/>
        <c:crosses val="autoZero"/>
        <c:auto val="1"/>
        <c:lblAlgn val="ctr"/>
        <c:lblOffset val="100"/>
        <c:noMultiLvlLbl val="0"/>
      </c:catAx>
      <c:valAx>
        <c:axId val="143179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49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CFRP construction -Human health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'prodcution CFRP'!$A$13:$B$13</c:f>
              <c:strCache>
                <c:ptCount val="1"/>
                <c:pt idx="0">
                  <c:v>Human health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CFRP'!$C$13:$K$13</c:f>
              <c:numCache>
                <c:formatCode>General</c:formatCode>
                <c:ptCount val="9"/>
                <c:pt idx="0">
                  <c:v>0.26017486790955674</c:v>
                </c:pt>
                <c:pt idx="1">
                  <c:v>6.7284921869231143E-2</c:v>
                </c:pt>
                <c:pt idx="2">
                  <c:v>4.8195273670677198E-2</c:v>
                </c:pt>
                <c:pt idx="3">
                  <c:v>6.394382144698342E-2</c:v>
                </c:pt>
                <c:pt idx="4">
                  <c:v>0.2932518433981865</c:v>
                </c:pt>
                <c:pt idx="5">
                  <c:v>6.2477414379411088E-2</c:v>
                </c:pt>
                <c:pt idx="6" formatCode="0.00%">
                  <c:v>0.14630474073185823</c:v>
                </c:pt>
                <c:pt idx="7">
                  <c:v>4.0326437522612635E-3</c:v>
                </c:pt>
                <c:pt idx="8">
                  <c:v>5.4334472841834416E-2</c:v>
                </c:pt>
              </c:numCache>
            </c:numRef>
          </c:val>
        </c:ser>
        <c:ser>
          <c:idx val="0"/>
          <c:order val="0"/>
          <c:tx>
            <c:strRef>
              <c:f>'prodcution CFRP'!$A$13:$B$13</c:f>
              <c:strCache>
                <c:ptCount val="1"/>
                <c:pt idx="0">
                  <c:v>Human health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'prodcution CFRP'!$C$11:$K$11</c:f>
              <c:strCache>
                <c:ptCount val="9"/>
                <c:pt idx="0">
                  <c:v>Carbonfiber production</c:v>
                </c:pt>
                <c:pt idx="1">
                  <c:v>PVC Foam production</c:v>
                </c:pt>
                <c:pt idx="2">
                  <c:v>CH: disposal, polyethylene, 0.4% water, to municipal incineration</c:v>
                </c:pt>
                <c:pt idx="3">
                  <c:v>DK: Powermix</c:v>
                </c:pt>
                <c:pt idx="4">
                  <c:v>RER: epoxy resin, liquid, at plant</c:v>
                </c:pt>
                <c:pt idx="5">
                  <c:v>RER: gas motor 206kW</c:v>
                </c:pt>
                <c:pt idx="6">
                  <c:v>RER: natural gas, burned in industrial furnace low-NOx &gt;100kW</c:v>
                </c:pt>
                <c:pt idx="7">
                  <c:v>RER: plywood, indoor use, at plant</c:v>
                </c:pt>
                <c:pt idx="8">
                  <c:v>Other</c:v>
                </c:pt>
              </c:strCache>
            </c:strRef>
          </c:cat>
          <c:val>
            <c:numRef>
              <c:f>'prodcution CFRP'!$C$13:$K$13</c:f>
              <c:numCache>
                <c:formatCode>General</c:formatCode>
                <c:ptCount val="9"/>
                <c:pt idx="0">
                  <c:v>0.26017486790955674</c:v>
                </c:pt>
                <c:pt idx="1">
                  <c:v>6.7284921869231143E-2</c:v>
                </c:pt>
                <c:pt idx="2">
                  <c:v>4.8195273670677198E-2</c:v>
                </c:pt>
                <c:pt idx="3">
                  <c:v>6.394382144698342E-2</c:v>
                </c:pt>
                <c:pt idx="4">
                  <c:v>0.2932518433981865</c:v>
                </c:pt>
                <c:pt idx="5">
                  <c:v>6.2477414379411088E-2</c:v>
                </c:pt>
                <c:pt idx="6" formatCode="0.00%">
                  <c:v>0.14630474073185823</c:v>
                </c:pt>
                <c:pt idx="7">
                  <c:v>4.0326437522612635E-3</c:v>
                </c:pt>
                <c:pt idx="8">
                  <c:v>5.4334472841834416E-2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66675</xdr:colOff>
      <xdr:row>12</xdr:row>
      <xdr:rowOff>152401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511628</xdr:colOff>
      <xdr:row>34</xdr:row>
      <xdr:rowOff>36739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3</xdr:row>
      <xdr:rowOff>0</xdr:rowOff>
    </xdr:from>
    <xdr:to>
      <xdr:col>33</xdr:col>
      <xdr:colOff>574222</xdr:colOff>
      <xdr:row>28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35</xdr:row>
      <xdr:rowOff>19050</xdr:rowOff>
    </xdr:from>
    <xdr:to>
      <xdr:col>8</xdr:col>
      <xdr:colOff>458560</xdr:colOff>
      <xdr:row>54</xdr:row>
      <xdr:rowOff>118382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285750</xdr:colOff>
      <xdr:row>56</xdr:row>
      <xdr:rowOff>0</xdr:rowOff>
    </xdr:from>
    <xdr:to>
      <xdr:col>12</xdr:col>
      <xdr:colOff>53068</xdr:colOff>
      <xdr:row>78</xdr:row>
      <xdr:rowOff>112940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261936</xdr:colOff>
      <xdr:row>79</xdr:row>
      <xdr:rowOff>128587</xdr:rowOff>
    </xdr:from>
    <xdr:to>
      <xdr:col>13</xdr:col>
      <xdr:colOff>495299</xdr:colOff>
      <xdr:row>96</xdr:row>
      <xdr:rowOff>47625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7</xdr:col>
      <xdr:colOff>96612</xdr:colOff>
      <xdr:row>120</xdr:row>
      <xdr:rowOff>167368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566737</xdr:colOff>
      <xdr:row>109</xdr:row>
      <xdr:rowOff>157162</xdr:rowOff>
    </xdr:from>
    <xdr:to>
      <xdr:col>15</xdr:col>
      <xdr:colOff>261937</xdr:colOff>
      <xdr:row>124</xdr:row>
      <xdr:rowOff>42862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</xdr:row>
      <xdr:rowOff>19050</xdr:rowOff>
    </xdr:from>
    <xdr:to>
      <xdr:col>9</xdr:col>
      <xdr:colOff>247650</xdr:colOff>
      <xdr:row>159</xdr:row>
      <xdr:rowOff>9525</xdr:rowOff>
    </xdr:to>
    <xdr:graphicFrame macro="">
      <xdr:nvGraphicFramePr>
        <xdr:cNvPr id="10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159</xdr:row>
      <xdr:rowOff>142875</xdr:rowOff>
    </xdr:from>
    <xdr:to>
      <xdr:col>9</xdr:col>
      <xdr:colOff>171450</xdr:colOff>
      <xdr:row>183</xdr:row>
      <xdr:rowOff>104776</xdr:rowOff>
    </xdr:to>
    <xdr:graphicFrame macro="">
      <xdr:nvGraphicFramePr>
        <xdr:cNvPr id="11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47624</xdr:colOff>
      <xdr:row>184</xdr:row>
      <xdr:rowOff>4761</xdr:rowOff>
    </xdr:from>
    <xdr:to>
      <xdr:col>9</xdr:col>
      <xdr:colOff>257175</xdr:colOff>
      <xdr:row>206</xdr:row>
      <xdr:rowOff>47624</xdr:rowOff>
    </xdr:to>
    <xdr:graphicFrame macro="">
      <xdr:nvGraphicFramePr>
        <xdr:cNvPr id="12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66675</xdr:colOff>
      <xdr:row>207</xdr:row>
      <xdr:rowOff>28575</xdr:rowOff>
    </xdr:from>
    <xdr:to>
      <xdr:col>6</xdr:col>
      <xdr:colOff>523875</xdr:colOff>
      <xdr:row>227</xdr:row>
      <xdr:rowOff>180975</xdr:rowOff>
    </xdr:to>
    <xdr:graphicFrame macro="">
      <xdr:nvGraphicFramePr>
        <xdr:cNvPr id="13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361950</xdr:colOff>
      <xdr:row>231</xdr:row>
      <xdr:rowOff>61912</xdr:rowOff>
    </xdr:from>
    <xdr:to>
      <xdr:col>16</xdr:col>
      <xdr:colOff>47625</xdr:colOff>
      <xdr:row>249</xdr:row>
      <xdr:rowOff>76200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250</xdr:row>
      <xdr:rowOff>176212</xdr:rowOff>
    </xdr:from>
    <xdr:to>
      <xdr:col>4</xdr:col>
      <xdr:colOff>504825</xdr:colOff>
      <xdr:row>265</xdr:row>
      <xdr:rowOff>61912</xdr:rowOff>
    </xdr:to>
    <xdr:graphicFrame macro="">
      <xdr:nvGraphicFramePr>
        <xdr:cNvPr id="14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114300</xdr:rowOff>
    </xdr:from>
    <xdr:to>
      <xdr:col>14</xdr:col>
      <xdr:colOff>685800</xdr:colOff>
      <xdr:row>51</xdr:row>
      <xdr:rowOff>133350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30</xdr:row>
      <xdr:rowOff>123825</xdr:rowOff>
    </xdr:from>
    <xdr:to>
      <xdr:col>8</xdr:col>
      <xdr:colOff>471487</xdr:colOff>
      <xdr:row>46</xdr:row>
      <xdr:rowOff>161924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52</xdr:row>
      <xdr:rowOff>104775</xdr:rowOff>
    </xdr:from>
    <xdr:to>
      <xdr:col>6</xdr:col>
      <xdr:colOff>547687</xdr:colOff>
      <xdr:row>72</xdr:row>
      <xdr:rowOff>166687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1104900</xdr:colOff>
      <xdr:row>29</xdr:row>
      <xdr:rowOff>185737</xdr:rowOff>
    </xdr:from>
    <xdr:to>
      <xdr:col>23</xdr:col>
      <xdr:colOff>66675</xdr:colOff>
      <xdr:row>44</xdr:row>
      <xdr:rowOff>71437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485775</xdr:colOff>
      <xdr:row>1</xdr:row>
      <xdr:rowOff>180975</xdr:rowOff>
    </xdr:from>
    <xdr:to>
      <xdr:col>24</xdr:col>
      <xdr:colOff>352425</xdr:colOff>
      <xdr:row>30</xdr:row>
      <xdr:rowOff>28575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9</xdr:row>
      <xdr:rowOff>171451</xdr:rowOff>
    </xdr:from>
    <xdr:to>
      <xdr:col>18</xdr:col>
      <xdr:colOff>285750</xdr:colOff>
      <xdr:row>37</xdr:row>
      <xdr:rowOff>133351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a/Dropbox/SpecialeFor&#229;r2013/Noter/Niels/Fartplan_Af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CC"/>
      <sheetName val="Sheet3"/>
    </sheetNames>
    <sheetDataSet>
      <sheetData sheetId="0"/>
      <sheetData sheetId="1">
        <row r="7">
          <cell r="C7" t="str">
            <v>CFRP</v>
          </cell>
          <cell r="D7" t="str">
            <v>Aluminium</v>
          </cell>
        </row>
        <row r="8">
          <cell r="B8" t="str">
            <v>Production</v>
          </cell>
          <cell r="C8">
            <v>53.333333333333336</v>
          </cell>
          <cell r="D8">
            <v>44.44444444444445</v>
          </cell>
        </row>
        <row r="9">
          <cell r="B9" t="str">
            <v>Maintenance</v>
          </cell>
          <cell r="C9">
            <v>3</v>
          </cell>
          <cell r="D9">
            <v>6</v>
          </cell>
        </row>
        <row r="10">
          <cell r="B10" t="str">
            <v>Operation</v>
          </cell>
          <cell r="C10">
            <v>185.31317494600432</v>
          </cell>
          <cell r="D10">
            <v>254.80561555075587</v>
          </cell>
        </row>
        <row r="11">
          <cell r="B11" t="str">
            <v>Disposal</v>
          </cell>
          <cell r="C11">
            <v>1.1900000000000001E-2</v>
          </cell>
          <cell r="D11">
            <v>-7.3999999999999996E-2</v>
          </cell>
        </row>
        <row r="19">
          <cell r="B19">
            <v>0</v>
          </cell>
          <cell r="C19">
            <v>53.333333333333336</v>
          </cell>
          <cell r="D19">
            <v>44.44444444444445</v>
          </cell>
        </row>
        <row r="20">
          <cell r="B20">
            <v>1</v>
          </cell>
          <cell r="C20">
            <v>59.610439164866818</v>
          </cell>
          <cell r="D20">
            <v>53.137964962802982</v>
          </cell>
        </row>
        <row r="21">
          <cell r="B21">
            <v>2</v>
          </cell>
          <cell r="C21">
            <v>65.887544996400294</v>
          </cell>
          <cell r="D21">
            <v>61.831485481161515</v>
          </cell>
        </row>
        <row r="22">
          <cell r="B22">
            <v>3</v>
          </cell>
          <cell r="C22">
            <v>72.16465082793377</v>
          </cell>
          <cell r="D22">
            <v>70.525005999520047</v>
          </cell>
        </row>
        <row r="23">
          <cell r="B23">
            <v>4</v>
          </cell>
          <cell r="C23">
            <v>78.441756659467245</v>
          </cell>
          <cell r="D23">
            <v>79.218526517878587</v>
          </cell>
        </row>
        <row r="24">
          <cell r="B24">
            <v>5</v>
          </cell>
          <cell r="C24">
            <v>84.718862491000721</v>
          </cell>
          <cell r="D24">
            <v>87.912047036237112</v>
          </cell>
        </row>
        <row r="25">
          <cell r="B25">
            <v>6</v>
          </cell>
          <cell r="C25">
            <v>90.995968322534196</v>
          </cell>
          <cell r="D25">
            <v>96.605567554595638</v>
          </cell>
        </row>
        <row r="26">
          <cell r="B26">
            <v>7</v>
          </cell>
          <cell r="C26">
            <v>97.273074154067672</v>
          </cell>
          <cell r="D26">
            <v>105.29908807295416</v>
          </cell>
        </row>
        <row r="27">
          <cell r="B27">
            <v>8</v>
          </cell>
          <cell r="C27">
            <v>103.55017998560115</v>
          </cell>
          <cell r="D27">
            <v>113.99260859131269</v>
          </cell>
        </row>
        <row r="28">
          <cell r="B28">
            <v>9</v>
          </cell>
          <cell r="C28">
            <v>109.82728581713462</v>
          </cell>
          <cell r="D28">
            <v>122.68612910967121</v>
          </cell>
        </row>
        <row r="29">
          <cell r="B29">
            <v>10</v>
          </cell>
          <cell r="C29">
            <v>116.1043916486681</v>
          </cell>
          <cell r="D29">
            <v>131.37964962802974</v>
          </cell>
        </row>
        <row r="30">
          <cell r="B30">
            <v>11</v>
          </cell>
          <cell r="C30">
            <v>122.38149748020157</v>
          </cell>
          <cell r="D30">
            <v>140.07317014638826</v>
          </cell>
        </row>
        <row r="31">
          <cell r="B31">
            <v>12</v>
          </cell>
          <cell r="C31">
            <v>128.65860331173505</v>
          </cell>
          <cell r="D31">
            <v>148.76669066474679</v>
          </cell>
        </row>
        <row r="32">
          <cell r="B32">
            <v>13</v>
          </cell>
          <cell r="C32">
            <v>134.93570914326853</v>
          </cell>
          <cell r="D32">
            <v>157.46021118310532</v>
          </cell>
        </row>
        <row r="33">
          <cell r="B33">
            <v>14</v>
          </cell>
          <cell r="C33">
            <v>141.212814974802</v>
          </cell>
          <cell r="D33">
            <v>166.15373170146384</v>
          </cell>
        </row>
        <row r="34">
          <cell r="B34">
            <v>15</v>
          </cell>
          <cell r="C34">
            <v>147.48992080633548</v>
          </cell>
          <cell r="D34">
            <v>174.84725221982237</v>
          </cell>
        </row>
        <row r="35">
          <cell r="B35">
            <v>16</v>
          </cell>
          <cell r="C35">
            <v>153.76702663786895</v>
          </cell>
          <cell r="D35">
            <v>183.54077273818089</v>
          </cell>
        </row>
        <row r="36">
          <cell r="B36">
            <v>17</v>
          </cell>
          <cell r="C36">
            <v>160.04413246940243</v>
          </cell>
          <cell r="D36">
            <v>192.23429325653942</v>
          </cell>
        </row>
        <row r="37">
          <cell r="B37">
            <v>18</v>
          </cell>
          <cell r="C37">
            <v>166.3212383009359</v>
          </cell>
          <cell r="D37">
            <v>200.92781377489794</v>
          </cell>
        </row>
        <row r="38">
          <cell r="B38">
            <v>19</v>
          </cell>
          <cell r="C38">
            <v>172.59834413246938</v>
          </cell>
          <cell r="D38">
            <v>209.62133429325647</v>
          </cell>
        </row>
        <row r="39">
          <cell r="B39">
            <v>20</v>
          </cell>
          <cell r="C39">
            <v>178.87544996400285</v>
          </cell>
          <cell r="D39">
            <v>218.31485481161499</v>
          </cell>
        </row>
        <row r="40">
          <cell r="B40">
            <v>21</v>
          </cell>
          <cell r="C40">
            <v>185.15255579553633</v>
          </cell>
          <cell r="D40">
            <v>227.00837532997352</v>
          </cell>
        </row>
        <row r="41">
          <cell r="B41">
            <v>22</v>
          </cell>
          <cell r="C41">
            <v>191.42966162706981</v>
          </cell>
          <cell r="D41">
            <v>235.70189584833204</v>
          </cell>
        </row>
        <row r="42">
          <cell r="B42">
            <v>23</v>
          </cell>
          <cell r="C42">
            <v>197.70676745860328</v>
          </cell>
          <cell r="D42">
            <v>244.39541636669057</v>
          </cell>
        </row>
        <row r="43">
          <cell r="B43">
            <v>24</v>
          </cell>
          <cell r="C43">
            <v>203.98387329013676</v>
          </cell>
          <cell r="D43">
            <v>253.08893688504909</v>
          </cell>
        </row>
        <row r="44">
          <cell r="B44">
            <v>25</v>
          </cell>
          <cell r="C44">
            <v>210.26097912167023</v>
          </cell>
          <cell r="D44">
            <v>261.78245740340759</v>
          </cell>
        </row>
        <row r="45">
          <cell r="B45">
            <v>26</v>
          </cell>
          <cell r="C45">
            <v>216.53808495320371</v>
          </cell>
          <cell r="D45">
            <v>270.47597792176612</v>
          </cell>
        </row>
        <row r="46">
          <cell r="B46">
            <v>27</v>
          </cell>
          <cell r="C46">
            <v>222.81519078473718</v>
          </cell>
          <cell r="D46">
            <v>279.16949844012464</v>
          </cell>
        </row>
        <row r="47">
          <cell r="B47">
            <v>28</v>
          </cell>
          <cell r="C47">
            <v>229.09229661627066</v>
          </cell>
          <cell r="D47">
            <v>287.86301895848317</v>
          </cell>
        </row>
        <row r="48">
          <cell r="B48">
            <v>29</v>
          </cell>
          <cell r="C48">
            <v>235.36940244780413</v>
          </cell>
          <cell r="D48">
            <v>296.55653947684169</v>
          </cell>
        </row>
        <row r="49">
          <cell r="B49">
            <v>30</v>
          </cell>
          <cell r="C49">
            <v>241.65840827933761</v>
          </cell>
          <cell r="D49">
            <v>305.17605999520021</v>
          </cell>
        </row>
        <row r="50">
          <cell r="B50">
            <v>31</v>
          </cell>
          <cell r="C50">
            <v>247.93551411087108</v>
          </cell>
          <cell r="D50">
            <v>313.86958051355873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2"/>
  <sheetViews>
    <sheetView topLeftCell="A13" zoomScale="70" zoomScaleNormal="70" workbookViewId="0">
      <selection activeCell="K49" sqref="K49:K51"/>
    </sheetView>
  </sheetViews>
  <sheetFormatPr defaultRowHeight="15" x14ac:dyDescent="0.25"/>
  <cols>
    <col min="1" max="1" width="13.7109375" bestFit="1" customWidth="1"/>
    <col min="2" max="2" width="4.28515625" customWidth="1"/>
    <col min="3" max="3" width="38.28515625" bestFit="1" customWidth="1"/>
    <col min="4" max="4" width="20.42578125" bestFit="1" customWidth="1"/>
    <col min="5" max="5" width="19.140625" bestFit="1" customWidth="1"/>
    <col min="6" max="6" width="19.5703125" bestFit="1" customWidth="1"/>
    <col min="7" max="7" width="18.42578125" bestFit="1" customWidth="1"/>
    <col min="8" max="8" width="19.42578125" bestFit="1" customWidth="1"/>
    <col min="9" max="9" width="6.28515625" customWidth="1"/>
    <col min="10" max="13" width="12" bestFit="1" customWidth="1"/>
    <col min="14" max="14" width="13.5703125" bestFit="1" customWidth="1"/>
    <col min="16" max="16" width="13.42578125" bestFit="1" customWidth="1"/>
    <col min="17" max="17" width="10.5703125" bestFit="1" customWidth="1"/>
    <col min="20" max="20" width="10.5703125" bestFit="1" customWidth="1"/>
    <col min="21" max="22" width="10.140625" bestFit="1" customWidth="1"/>
    <col min="23" max="23" width="14.42578125" bestFit="1" customWidth="1"/>
    <col min="24" max="24" width="10.5703125" bestFit="1" customWidth="1"/>
    <col min="26" max="26" width="15" bestFit="1" customWidth="1"/>
    <col min="27" max="27" width="10.5703125" bestFit="1" customWidth="1"/>
  </cols>
  <sheetData>
    <row r="1" spans="1:17" x14ac:dyDescent="0.25">
      <c r="A1" s="4"/>
      <c r="B1" s="4"/>
      <c r="C1" s="4" t="s">
        <v>6</v>
      </c>
      <c r="D1" s="4">
        <v>100</v>
      </c>
      <c r="E1" s="4"/>
      <c r="F1" s="4"/>
      <c r="G1" s="4"/>
      <c r="H1" s="4"/>
      <c r="I1" s="4"/>
    </row>
    <row r="2" spans="1:17" x14ac:dyDescent="0.25">
      <c r="A2" s="4" t="s">
        <v>0</v>
      </c>
      <c r="B2" s="4"/>
      <c r="C2" s="5" t="s">
        <v>7</v>
      </c>
      <c r="D2" s="4">
        <f>1000000</f>
        <v>1000000</v>
      </c>
      <c r="E2" s="4"/>
      <c r="F2" s="4"/>
      <c r="G2" s="4"/>
      <c r="H2" s="4"/>
      <c r="I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x14ac:dyDescent="0.25">
      <c r="A4" s="4"/>
      <c r="B4" s="4"/>
      <c r="C4" s="6" t="s">
        <v>8</v>
      </c>
      <c r="D4" s="4"/>
      <c r="E4" s="4"/>
      <c r="F4" s="6" t="s">
        <v>50</v>
      </c>
      <c r="G4" s="4"/>
      <c r="H4" s="4"/>
      <c r="I4" s="4"/>
      <c r="L4" s="2" t="s">
        <v>52</v>
      </c>
      <c r="P4" t="s">
        <v>55</v>
      </c>
    </row>
    <row r="5" spans="1:17" x14ac:dyDescent="0.25">
      <c r="A5" s="4"/>
      <c r="B5" s="4"/>
      <c r="D5" t="s">
        <v>54</v>
      </c>
      <c r="E5" t="s">
        <v>1</v>
      </c>
      <c r="F5" t="s">
        <v>2</v>
      </c>
      <c r="G5" t="s">
        <v>3</v>
      </c>
      <c r="H5" t="s">
        <v>5</v>
      </c>
      <c r="J5" t="s">
        <v>53</v>
      </c>
      <c r="K5" t="s">
        <v>1</v>
      </c>
      <c r="L5" t="s">
        <v>2</v>
      </c>
      <c r="M5" t="s">
        <v>3</v>
      </c>
      <c r="N5" t="s">
        <v>5</v>
      </c>
      <c r="P5" t="s">
        <v>49</v>
      </c>
      <c r="Q5" t="s">
        <v>51</v>
      </c>
    </row>
    <row r="6" spans="1:17" x14ac:dyDescent="0.25">
      <c r="A6" s="4"/>
      <c r="B6" s="4"/>
      <c r="C6" s="3" t="s">
        <v>9</v>
      </c>
      <c r="D6" s="8">
        <v>1.0326139640292799E-3</v>
      </c>
      <c r="E6" s="9">
        <v>-1.85421554256514E-5</v>
      </c>
      <c r="F6" s="8">
        <v>9.6446470455256999E-4</v>
      </c>
      <c r="G6" s="9">
        <v>-2.25805253770948E-6</v>
      </c>
      <c r="H6" s="9">
        <v>8.8949467440073199E-5</v>
      </c>
      <c r="J6" s="10">
        <v>9.0595144808150701E-4</v>
      </c>
      <c r="K6" s="11">
        <v>1.2304986583539201E-7</v>
      </c>
      <c r="L6" s="10">
        <v>7.0214856402244495E-4</v>
      </c>
      <c r="M6" s="11">
        <v>2.0982022235165799E-5</v>
      </c>
      <c r="N6" s="10">
        <v>1.8269781195806101E-4</v>
      </c>
      <c r="P6" s="1">
        <f>G6+H6</f>
        <v>8.6691414902363714E-5</v>
      </c>
      <c r="Q6" s="1">
        <f>M6+N6</f>
        <v>2.0367983419322682E-4</v>
      </c>
    </row>
    <row r="7" spans="1:17" x14ac:dyDescent="0.25">
      <c r="A7" s="4"/>
      <c r="B7" s="4"/>
      <c r="C7" t="s">
        <v>10</v>
      </c>
      <c r="D7" s="8">
        <v>0.98425566146875598</v>
      </c>
      <c r="E7" s="8">
        <v>-4.22236439296965E-4</v>
      </c>
      <c r="F7" s="8">
        <v>0.981457642266511</v>
      </c>
      <c r="G7" s="9">
        <v>8.8836765114795306E-5</v>
      </c>
      <c r="H7" s="8">
        <v>3.1314188764267501E-3</v>
      </c>
      <c r="J7" s="10">
        <v>0.71836821496199499</v>
      </c>
      <c r="K7" s="11">
        <v>2.5307868158581601E-5</v>
      </c>
      <c r="L7" s="10">
        <v>0.71408107539659404</v>
      </c>
      <c r="M7" s="10">
        <v>1.54264424269683E-3</v>
      </c>
      <c r="N7" s="10">
        <v>2.7191874545458498E-3</v>
      </c>
      <c r="P7" s="1">
        <f t="shared" ref="P7:P22" si="0">G7+H7</f>
        <v>3.2202556415415456E-3</v>
      </c>
      <c r="Q7" s="1">
        <f t="shared" ref="Q7:Q22" si="1">M7+N7</f>
        <v>4.26183169724268E-3</v>
      </c>
    </row>
    <row r="8" spans="1:17" x14ac:dyDescent="0.25">
      <c r="A8" s="4"/>
      <c r="B8" s="4"/>
      <c r="C8" t="s">
        <v>11</v>
      </c>
      <c r="D8" s="8">
        <v>173.76985271468101</v>
      </c>
      <c r="E8" s="8">
        <v>-7.4562339003626396E-2</v>
      </c>
      <c r="F8" s="8">
        <v>173.276119616827</v>
      </c>
      <c r="G8" s="8">
        <v>1.56779982401162E-2</v>
      </c>
      <c r="H8" s="8">
        <v>0.55261743861791301</v>
      </c>
      <c r="J8" s="10">
        <v>126.827883859176</v>
      </c>
      <c r="K8" s="10">
        <v>4.4719287527746803E-3</v>
      </c>
      <c r="L8" s="10">
        <v>126.07085342710999</v>
      </c>
      <c r="M8" s="10">
        <v>0.272369271732046</v>
      </c>
      <c r="N8" s="10">
        <v>0.48018923158198801</v>
      </c>
      <c r="P8" s="1">
        <f t="shared" si="0"/>
        <v>0.56829543685802919</v>
      </c>
      <c r="Q8" s="1">
        <f t="shared" si="1"/>
        <v>0.75255850331403407</v>
      </c>
    </row>
    <row r="9" spans="1:17" x14ac:dyDescent="0.25">
      <c r="A9" s="4"/>
      <c r="B9" s="4"/>
      <c r="C9" t="s">
        <v>12</v>
      </c>
      <c r="D9" s="8">
        <v>701074250.47147799</v>
      </c>
      <c r="E9" s="8">
        <v>-307527.783447675</v>
      </c>
      <c r="F9" s="8">
        <v>699871301.50364697</v>
      </c>
      <c r="G9" s="8">
        <v>95607.521952078605</v>
      </c>
      <c r="H9" s="8">
        <v>1414869.2293267499</v>
      </c>
      <c r="J9" s="10">
        <v>512740661.23233902</v>
      </c>
      <c r="K9" s="10">
        <v>3445.7012042435499</v>
      </c>
      <c r="L9" s="10">
        <v>509224408.21751398</v>
      </c>
      <c r="M9" s="10">
        <v>1046013.8959410799</v>
      </c>
      <c r="N9" s="10">
        <v>2466793.4176797098</v>
      </c>
      <c r="P9" s="1">
        <f t="shared" si="0"/>
        <v>1510476.7512788286</v>
      </c>
      <c r="Q9" s="1">
        <f t="shared" si="1"/>
        <v>3512807.3136207899</v>
      </c>
    </row>
    <row r="10" spans="1:17" x14ac:dyDescent="0.25">
      <c r="A10" s="4"/>
      <c r="B10" s="4"/>
      <c r="C10" t="s">
        <v>13</v>
      </c>
      <c r="D10" s="9">
        <v>1.4566269733113901E-5</v>
      </c>
      <c r="E10" s="9">
        <v>-1.9151340086324701E-8</v>
      </c>
      <c r="F10" s="9">
        <v>1.42260858518593E-5</v>
      </c>
      <c r="G10" s="9">
        <v>1.3198130004388099E-7</v>
      </c>
      <c r="H10" s="9">
        <v>2.2735392129705601E-7</v>
      </c>
      <c r="J10" s="11">
        <v>1.11041891245007E-5</v>
      </c>
      <c r="K10" s="11">
        <v>4.7685246479247003E-7</v>
      </c>
      <c r="L10" s="11">
        <v>1.03545460559434E-5</v>
      </c>
      <c r="M10" s="11">
        <v>2.17539877525027E-7</v>
      </c>
      <c r="N10" s="11">
        <v>5.5250726239784798E-8</v>
      </c>
      <c r="P10" s="1">
        <f t="shared" si="0"/>
        <v>3.5933522134093697E-7</v>
      </c>
      <c r="Q10" s="1">
        <f t="shared" si="1"/>
        <v>2.7279060376481179E-7</v>
      </c>
    </row>
    <row r="11" spans="1:17" x14ac:dyDescent="0.25">
      <c r="A11" s="4"/>
      <c r="B11" s="4"/>
      <c r="C11" t="s">
        <v>14</v>
      </c>
      <c r="D11" s="9">
        <v>1.3727313699639599E-5</v>
      </c>
      <c r="E11" s="9">
        <v>-1.8370677260531501E-8</v>
      </c>
      <c r="F11" s="9">
        <v>1.33922746046421E-5</v>
      </c>
      <c r="G11" s="9">
        <v>4.3330246508252899E-8</v>
      </c>
      <c r="H11" s="9">
        <v>3.1007952574980802E-7</v>
      </c>
      <c r="J11" s="11">
        <v>9.9590343104425493E-6</v>
      </c>
      <c r="K11" s="11">
        <v>1.2412453655796999E-10</v>
      </c>
      <c r="L11" s="11">
        <v>9.7484508724519704E-6</v>
      </c>
      <c r="M11" s="11">
        <v>4.38308871664202E-8</v>
      </c>
      <c r="N11" s="11">
        <v>1.6662842628759901E-7</v>
      </c>
      <c r="P11" s="1">
        <f t="shared" si="0"/>
        <v>3.5340977225806093E-7</v>
      </c>
      <c r="Q11" s="1">
        <f t="shared" si="1"/>
        <v>2.104593134540192E-7</v>
      </c>
    </row>
    <row r="12" spans="1:17" x14ac:dyDescent="0.25">
      <c r="A12" s="4"/>
      <c r="B12" s="4"/>
      <c r="C12" t="s">
        <v>15</v>
      </c>
      <c r="D12" s="8">
        <v>1.00244871922637</v>
      </c>
      <c r="E12" s="8">
        <v>-1.0860764150273699E-3</v>
      </c>
      <c r="F12" s="8">
        <v>0.99040363367226103</v>
      </c>
      <c r="G12" s="8">
        <v>7.8169497822539802E-4</v>
      </c>
      <c r="H12" s="8">
        <v>1.2349466990913899E-2</v>
      </c>
      <c r="J12" s="10">
        <v>0.73679092277331604</v>
      </c>
      <c r="K12" s="10">
        <v>7.5756939240089497E-3</v>
      </c>
      <c r="L12" s="10">
        <v>0.72079394109602801</v>
      </c>
      <c r="M12" s="10">
        <v>3.9232494976339299E-3</v>
      </c>
      <c r="N12" s="10">
        <v>4.4980382556453003E-3</v>
      </c>
      <c r="P12" s="1">
        <f t="shared" si="0"/>
        <v>1.3131161969139297E-2</v>
      </c>
      <c r="Q12" s="1">
        <f t="shared" si="1"/>
        <v>8.4212877532792302E-3</v>
      </c>
    </row>
    <row r="13" spans="1:17" x14ac:dyDescent="0.25">
      <c r="A13" s="4"/>
      <c r="B13" s="4"/>
      <c r="C13" t="s">
        <v>16</v>
      </c>
      <c r="D13" s="8">
        <v>14482.682328209599</v>
      </c>
      <c r="E13" s="8">
        <v>-50.561042566100802</v>
      </c>
      <c r="F13" s="8">
        <v>14049.5540313203</v>
      </c>
      <c r="G13" s="8">
        <v>9.1325302183933399</v>
      </c>
      <c r="H13" s="8">
        <v>474.55680923697997</v>
      </c>
      <c r="J13" s="10">
        <v>10690.797069825599</v>
      </c>
      <c r="K13" s="10">
        <v>0.48994942806311997</v>
      </c>
      <c r="L13" s="10">
        <v>10248.078093177601</v>
      </c>
      <c r="M13" s="10">
        <v>60.447294391905601</v>
      </c>
      <c r="N13" s="10">
        <v>381.78173282802402</v>
      </c>
      <c r="P13" s="1">
        <f t="shared" si="0"/>
        <v>483.68933945537333</v>
      </c>
      <c r="Q13" s="1">
        <f t="shared" si="1"/>
        <v>442.22902721992961</v>
      </c>
    </row>
    <row r="14" spans="1:17" x14ac:dyDescent="0.25">
      <c r="A14" s="4"/>
      <c r="B14" s="4"/>
      <c r="C14" t="s">
        <v>17</v>
      </c>
      <c r="D14" s="9">
        <v>5.1797256251941499E-8</v>
      </c>
      <c r="E14" s="9">
        <v>-5.8592165192242698E-11</v>
      </c>
      <c r="F14" s="9">
        <v>5.0758221269959298E-8</v>
      </c>
      <c r="G14" s="9">
        <v>3.9887313762216998E-10</v>
      </c>
      <c r="H14" s="9">
        <v>6.9875400955224896E-10</v>
      </c>
      <c r="J14" s="11">
        <v>3.9178948763976297E-8</v>
      </c>
      <c r="K14" s="11">
        <v>1.43603837478078E-9</v>
      </c>
      <c r="L14" s="11">
        <v>3.6940470328754401E-8</v>
      </c>
      <c r="M14" s="11">
        <v>6.7335615314917798E-10</v>
      </c>
      <c r="N14" s="11">
        <v>1.29083907291978E-10</v>
      </c>
      <c r="P14" s="1">
        <f t="shared" si="0"/>
        <v>1.0976271471744188E-9</v>
      </c>
      <c r="Q14" s="1">
        <f t="shared" si="1"/>
        <v>8.0244006044115592E-10</v>
      </c>
    </row>
    <row r="15" spans="1:17" x14ac:dyDescent="0.25">
      <c r="A15" s="4"/>
      <c r="B15" s="4"/>
      <c r="C15" t="s">
        <v>18</v>
      </c>
      <c r="D15" s="8">
        <v>48272.770890634303</v>
      </c>
      <c r="E15" s="8">
        <v>-794.221906312589</v>
      </c>
      <c r="F15" s="8">
        <v>41198.6327216313</v>
      </c>
      <c r="G15" s="8">
        <v>2082.0837113593402</v>
      </c>
      <c r="H15" s="8">
        <v>5786.2763639562299</v>
      </c>
      <c r="J15" s="10">
        <v>32147.4792114677</v>
      </c>
      <c r="K15" s="10">
        <v>2.0341005300703401</v>
      </c>
      <c r="L15" s="10">
        <v>29980.878239657799</v>
      </c>
      <c r="M15" s="10">
        <v>1865.1812205687099</v>
      </c>
      <c r="N15" s="10">
        <v>299.38565071118802</v>
      </c>
      <c r="P15" s="1">
        <f t="shared" si="0"/>
        <v>7868.3600753155697</v>
      </c>
      <c r="Q15" s="1">
        <f t="shared" si="1"/>
        <v>2164.5668712798979</v>
      </c>
    </row>
    <row r="16" spans="1:17" x14ac:dyDescent="0.25">
      <c r="A16" s="4"/>
      <c r="B16" s="4"/>
      <c r="C16" t="s">
        <v>19</v>
      </c>
      <c r="D16" s="8">
        <v>0.11455036104501801</v>
      </c>
      <c r="E16" s="9">
        <v>-2.7448945393557098E-5</v>
      </c>
      <c r="F16" s="8">
        <v>0.11447373886462001</v>
      </c>
      <c r="G16" s="9">
        <v>-3.5466053909032402E-7</v>
      </c>
      <c r="H16" s="9">
        <v>1.0442578633068101E-4</v>
      </c>
      <c r="J16" s="10">
        <v>8.33527117267618E-2</v>
      </c>
      <c r="K16" s="11">
        <v>-1.7320706204758299E-6</v>
      </c>
      <c r="L16" s="10">
        <v>8.3271549766116906E-2</v>
      </c>
      <c r="M16" s="11">
        <v>5.5935169715287599E-5</v>
      </c>
      <c r="N16" s="11">
        <v>2.69588615500756E-5</v>
      </c>
      <c r="P16" s="1">
        <f t="shared" si="0"/>
        <v>1.0407112579159069E-4</v>
      </c>
      <c r="Q16" s="1">
        <f t="shared" si="1"/>
        <v>8.2894031265363206E-5</v>
      </c>
    </row>
    <row r="17" spans="1:17" x14ac:dyDescent="0.25">
      <c r="A17" s="4"/>
      <c r="B17" s="4"/>
      <c r="C17" t="s">
        <v>20</v>
      </c>
      <c r="D17" s="8">
        <v>4.1730668915899702E-2</v>
      </c>
      <c r="E17" s="9">
        <v>-1.3706218638671099E-5</v>
      </c>
      <c r="F17" s="8">
        <v>4.16949701756043E-2</v>
      </c>
      <c r="G17" s="9">
        <v>4.0981578584531501E-7</v>
      </c>
      <c r="H17" s="9">
        <v>4.8995143148290003E-5</v>
      </c>
      <c r="J17" s="10">
        <v>3.04049952944088E-2</v>
      </c>
      <c r="K17" s="11">
        <v>2.4388748002601001E-7</v>
      </c>
      <c r="L17" s="10">
        <v>3.0331140126645999E-2</v>
      </c>
      <c r="M17" s="11">
        <v>4.5500173458369902E-5</v>
      </c>
      <c r="N17" s="11">
        <v>2.8111106824443001E-5</v>
      </c>
      <c r="P17" s="1">
        <f t="shared" si="0"/>
        <v>4.9404958934135321E-5</v>
      </c>
      <c r="Q17" s="1">
        <f t="shared" si="1"/>
        <v>7.3611280282812907E-5</v>
      </c>
    </row>
    <row r="18" spans="1:17" x14ac:dyDescent="0.25">
      <c r="A18" s="4"/>
      <c r="B18" s="4"/>
      <c r="C18" t="s">
        <v>21</v>
      </c>
      <c r="D18" s="8">
        <v>134.88454352148401</v>
      </c>
      <c r="E18" s="8">
        <v>-1.8156119197121401E-2</v>
      </c>
      <c r="F18" s="8">
        <v>134.74948445247199</v>
      </c>
      <c r="G18" s="8">
        <v>1.7646347565276499E-2</v>
      </c>
      <c r="H18" s="8">
        <v>0.13556884064362901</v>
      </c>
      <c r="J18" s="10">
        <v>98.2206419492327</v>
      </c>
      <c r="K18" s="10">
        <v>2.85200860758254E-4</v>
      </c>
      <c r="L18" s="10">
        <v>98.027329200817604</v>
      </c>
      <c r="M18" s="10">
        <v>3.4244987125053798E-2</v>
      </c>
      <c r="N18" s="10">
        <v>0.158782560429262</v>
      </c>
      <c r="P18" s="1">
        <f t="shared" si="0"/>
        <v>0.15321518820890551</v>
      </c>
      <c r="Q18" s="1">
        <f t="shared" si="1"/>
        <v>0.19302754755431581</v>
      </c>
    </row>
    <row r="19" spans="1:17" x14ac:dyDescent="0.25">
      <c r="A19" s="4"/>
      <c r="B19" s="4"/>
      <c r="C19" t="s">
        <v>22</v>
      </c>
      <c r="D19" s="8">
        <v>6.0836769635857699E-2</v>
      </c>
      <c r="E19" s="9">
        <v>-4.4311195952593901E-6</v>
      </c>
      <c r="F19" s="8">
        <v>6.0810394470836401E-2</v>
      </c>
      <c r="G19" s="9">
        <v>1.49526081884803E-6</v>
      </c>
      <c r="H19" s="9">
        <v>2.9311023797656199E-5</v>
      </c>
      <c r="J19" s="10">
        <v>4.4295950236769903E-2</v>
      </c>
      <c r="K19" s="11">
        <v>1.6225142348880399E-7</v>
      </c>
      <c r="L19" s="10">
        <v>4.4237084013616902E-2</v>
      </c>
      <c r="M19" s="11">
        <v>1.3237230202352E-5</v>
      </c>
      <c r="N19" s="11">
        <v>4.5466741527062601E-5</v>
      </c>
      <c r="P19" s="1">
        <f t="shared" si="0"/>
        <v>3.080628461650423E-5</v>
      </c>
      <c r="Q19" s="1">
        <f t="shared" si="1"/>
        <v>5.8703971729414602E-5</v>
      </c>
    </row>
    <row r="20" spans="1:17" x14ac:dyDescent="0.25">
      <c r="A20" s="4"/>
      <c r="B20" s="4"/>
      <c r="C20" t="s">
        <v>23</v>
      </c>
      <c r="D20" s="8">
        <v>6.0121987473433502E-3</v>
      </c>
      <c r="E20" s="9">
        <v>-1.21745305409776E-6</v>
      </c>
      <c r="F20" s="8">
        <v>6.0058501774651503E-3</v>
      </c>
      <c r="G20" s="9">
        <v>7.1634969124678802E-8</v>
      </c>
      <c r="H20" s="9">
        <v>7.4943879631785599E-6</v>
      </c>
      <c r="J20" s="10">
        <v>4.3787464523515496E-3</v>
      </c>
      <c r="K20" s="11">
        <v>1.32883468390128E-8</v>
      </c>
      <c r="L20" s="10">
        <v>4.3692073716595503E-3</v>
      </c>
      <c r="M20" s="11">
        <v>1.4841874619662201E-6</v>
      </c>
      <c r="N20" s="11">
        <v>8.0416048831902498E-6</v>
      </c>
      <c r="P20" s="1">
        <f t="shared" si="0"/>
        <v>7.5660229323032385E-6</v>
      </c>
      <c r="Q20" s="1">
        <f t="shared" si="1"/>
        <v>9.5257923451564707E-6</v>
      </c>
    </row>
    <row r="21" spans="1:17" x14ac:dyDescent="0.25">
      <c r="A21" s="4"/>
      <c r="B21" s="4"/>
      <c r="C21" t="s">
        <v>24</v>
      </c>
      <c r="D21" s="8">
        <v>1.1098388880793899E-3</v>
      </c>
      <c r="E21" s="9">
        <v>-2.1826050498645499E-7</v>
      </c>
      <c r="F21" s="8">
        <v>1.1083898447551001E-3</v>
      </c>
      <c r="G21" s="9">
        <v>5.3217774175651798E-8</v>
      </c>
      <c r="H21" s="9">
        <v>1.6140860551054599E-6</v>
      </c>
      <c r="J21" s="10">
        <v>8.1307817021025101E-4</v>
      </c>
      <c r="K21" s="11">
        <v>2.32998524068193E-8</v>
      </c>
      <c r="L21" s="10">
        <v>8.0660747489523402E-4</v>
      </c>
      <c r="M21" s="11">
        <v>1.36677977220622E-6</v>
      </c>
      <c r="N21" s="11">
        <v>5.0806156904037197E-6</v>
      </c>
      <c r="P21" s="1">
        <f t="shared" si="0"/>
        <v>1.6673038292811117E-6</v>
      </c>
      <c r="Q21" s="1">
        <f t="shared" si="1"/>
        <v>6.4473954626099393E-6</v>
      </c>
    </row>
    <row r="22" spans="1:17" x14ac:dyDescent="0.25">
      <c r="A22" s="4"/>
      <c r="B22" s="4"/>
      <c r="C22" t="s">
        <v>25</v>
      </c>
      <c r="D22" s="8">
        <v>4.2897471475338202E-3</v>
      </c>
      <c r="E22" s="9">
        <v>-1.63728410522214E-5</v>
      </c>
      <c r="F22" s="8">
        <v>4.2672607295904698E-3</v>
      </c>
      <c r="G22" s="9">
        <v>-1.66517899188179E-6</v>
      </c>
      <c r="H22" s="9">
        <v>4.0524437987458801E-5</v>
      </c>
      <c r="J22" s="10">
        <v>3.1269398099514601E-3</v>
      </c>
      <c r="K22" s="11">
        <v>2.2782159536255599E-6</v>
      </c>
      <c r="L22" s="10">
        <v>3.10439756473128E-3</v>
      </c>
      <c r="M22" s="11">
        <v>1.0487522082302699E-5</v>
      </c>
      <c r="N22" s="11">
        <v>9.7765071842586001E-6</v>
      </c>
      <c r="P22" s="1">
        <f t="shared" si="0"/>
        <v>3.8859258995577014E-5</v>
      </c>
      <c r="Q22" s="1">
        <f t="shared" si="1"/>
        <v>2.0264029266561299E-5</v>
      </c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17" x14ac:dyDescent="0.25">
      <c r="A24" s="4"/>
      <c r="B24" s="4"/>
      <c r="C24" s="6" t="s">
        <v>26</v>
      </c>
      <c r="D24" s="6" t="s">
        <v>27</v>
      </c>
      <c r="E24" s="6" t="s">
        <v>28</v>
      </c>
      <c r="F24" s="6" t="s">
        <v>29</v>
      </c>
      <c r="G24" s="6" t="s">
        <v>27</v>
      </c>
      <c r="H24" s="6" t="s">
        <v>28</v>
      </c>
      <c r="I24" s="6" t="s">
        <v>29</v>
      </c>
    </row>
    <row r="25" spans="1:17" x14ac:dyDescent="0.25">
      <c r="A25" s="4" t="s">
        <v>30</v>
      </c>
      <c r="B25" s="4"/>
      <c r="C25" s="4"/>
      <c r="D25" s="6" t="s">
        <v>31</v>
      </c>
      <c r="E25" s="6" t="s">
        <v>32</v>
      </c>
      <c r="F25" s="6" t="s">
        <v>33</v>
      </c>
      <c r="G25" s="6" t="s">
        <v>31</v>
      </c>
      <c r="H25" s="6" t="s">
        <v>32</v>
      </c>
      <c r="I25" s="6" t="s">
        <v>33</v>
      </c>
    </row>
    <row r="26" spans="1:17" x14ac:dyDescent="0.25">
      <c r="A26" s="4"/>
      <c r="B26" s="4"/>
      <c r="C26" s="4"/>
      <c r="D26" s="6" t="s">
        <v>34</v>
      </c>
      <c r="E26" s="6" t="s">
        <v>34</v>
      </c>
      <c r="F26" s="6" t="s">
        <v>34</v>
      </c>
      <c r="G26" s="6" t="s">
        <v>35</v>
      </c>
      <c r="H26" s="6" t="s">
        <v>35</v>
      </c>
      <c r="I26" s="6" t="s">
        <v>35</v>
      </c>
    </row>
    <row r="27" spans="1:17" x14ac:dyDescent="0.25">
      <c r="A27" s="4"/>
      <c r="B27" s="4"/>
      <c r="C27" s="4" t="s">
        <v>36</v>
      </c>
      <c r="D27" s="4">
        <v>1.8599999999999999E-4</v>
      </c>
      <c r="E27" s="4">
        <v>1.8100000000000001E-4</v>
      </c>
      <c r="F27" s="4">
        <v>2.7500000000000002E-4</v>
      </c>
      <c r="G27" s="4">
        <v>8.0000000000000004E-4</v>
      </c>
      <c r="H27" s="4">
        <v>9.1699999999999995E-4</v>
      </c>
      <c r="I27" s="4">
        <v>2.48E-3</v>
      </c>
    </row>
    <row r="28" spans="1:17" x14ac:dyDescent="0.25">
      <c r="A28" s="4"/>
      <c r="B28" s="4"/>
      <c r="C28" s="4" t="s">
        <v>37</v>
      </c>
      <c r="D28" s="4">
        <v>2.1000000000000001E-2</v>
      </c>
      <c r="E28" s="4">
        <v>2.0199999999999999E-2</v>
      </c>
      <c r="F28" s="4">
        <v>4.1000000000000002E-2</v>
      </c>
      <c r="G28" s="4">
        <v>1.4999999999999999E-2</v>
      </c>
      <c r="H28" s="4">
        <v>1.35E-2</v>
      </c>
      <c r="I28" s="4">
        <v>2.3900000000000001E-2</v>
      </c>
    </row>
    <row r="29" spans="1:17" x14ac:dyDescent="0.25">
      <c r="A29" s="4"/>
      <c r="B29" s="4"/>
      <c r="C29" s="4" t="s">
        <v>38</v>
      </c>
      <c r="D29" s="4">
        <v>131</v>
      </c>
      <c r="E29" s="4">
        <v>308</v>
      </c>
      <c r="F29" s="4">
        <v>308</v>
      </c>
      <c r="G29" s="4">
        <v>98.5</v>
      </c>
      <c r="H29" s="4">
        <v>245</v>
      </c>
      <c r="I29" s="4">
        <v>245</v>
      </c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7" x14ac:dyDescent="0.25">
      <c r="A31" s="4" t="s">
        <v>39</v>
      </c>
      <c r="B31" s="4"/>
      <c r="C31" s="4"/>
      <c r="D31" s="67" t="s">
        <v>40</v>
      </c>
      <c r="E31" s="67"/>
      <c r="F31" s="67"/>
      <c r="G31" s="67"/>
      <c r="H31" s="4"/>
      <c r="I31" s="4"/>
    </row>
    <row r="32" spans="1:17" x14ac:dyDescent="0.25">
      <c r="A32" s="4"/>
      <c r="B32" s="4"/>
      <c r="C32" s="4"/>
      <c r="D32" s="6" t="s">
        <v>41</v>
      </c>
      <c r="E32" s="6" t="s">
        <v>31</v>
      </c>
      <c r="F32" s="6" t="s">
        <v>32</v>
      </c>
      <c r="G32" s="6" t="s">
        <v>33</v>
      </c>
      <c r="H32" s="4"/>
      <c r="I32" s="4"/>
    </row>
    <row r="33" spans="1:27" x14ac:dyDescent="0.25">
      <c r="A33" s="4"/>
      <c r="B33" s="4"/>
      <c r="C33" s="4" t="s">
        <v>42</v>
      </c>
      <c r="D33" s="4">
        <v>400</v>
      </c>
      <c r="E33" s="4">
        <v>250</v>
      </c>
      <c r="F33" s="4">
        <v>400</v>
      </c>
      <c r="G33" s="4">
        <v>500</v>
      </c>
      <c r="H33" s="4"/>
      <c r="I33" s="4"/>
    </row>
    <row r="34" spans="1:27" x14ac:dyDescent="0.25">
      <c r="A34" s="4"/>
      <c r="B34" s="4"/>
      <c r="C34" s="4" t="s">
        <v>43</v>
      </c>
      <c r="D34" s="4">
        <v>400</v>
      </c>
      <c r="E34" s="4">
        <v>550</v>
      </c>
      <c r="F34" s="4">
        <v>300</v>
      </c>
      <c r="G34" s="4">
        <v>300</v>
      </c>
      <c r="H34" s="4"/>
      <c r="I34" s="4"/>
    </row>
    <row r="35" spans="1:27" x14ac:dyDescent="0.25">
      <c r="A35" s="4"/>
      <c r="B35" s="4"/>
      <c r="C35" s="4" t="s">
        <v>44</v>
      </c>
      <c r="D35" s="4">
        <v>200</v>
      </c>
      <c r="E35" s="4">
        <v>200</v>
      </c>
      <c r="F35" s="4">
        <v>300</v>
      </c>
      <c r="G35" s="4">
        <v>200</v>
      </c>
      <c r="H35" s="4"/>
      <c r="I35" s="4"/>
    </row>
    <row r="36" spans="1:27" x14ac:dyDescent="0.25">
      <c r="A36" s="4"/>
      <c r="B36" s="4"/>
      <c r="C36" s="4" t="s">
        <v>4</v>
      </c>
      <c r="D36" s="4">
        <f>SUM(D33:D35)</f>
        <v>1000</v>
      </c>
      <c r="E36" s="4">
        <f>SUM(E33:E35)</f>
        <v>1000</v>
      </c>
      <c r="F36" s="4">
        <f>SUM(F33:F35)</f>
        <v>1000</v>
      </c>
      <c r="G36" s="4">
        <f>SUM(G33:G35)</f>
        <v>1000</v>
      </c>
      <c r="H36" s="4"/>
      <c r="I36" s="4"/>
    </row>
    <row r="37" spans="1:27" x14ac:dyDescent="0.25">
      <c r="A37" s="4"/>
      <c r="B37" s="4"/>
      <c r="C37" s="4"/>
      <c r="D37" s="4">
        <v>30</v>
      </c>
      <c r="E37" s="4"/>
      <c r="F37" s="4"/>
      <c r="G37" s="4"/>
      <c r="H37" s="4"/>
      <c r="I37" s="4"/>
      <c r="J37">
        <v>30</v>
      </c>
      <c r="P37">
        <v>0</v>
      </c>
      <c r="Q37">
        <v>0</v>
      </c>
    </row>
    <row r="38" spans="1:27" x14ac:dyDescent="0.25">
      <c r="A38" s="6" t="s">
        <v>45</v>
      </c>
      <c r="B38" s="4"/>
      <c r="C38" s="4"/>
      <c r="D38" s="4" t="str">
        <f>D5</f>
        <v>Total AL</v>
      </c>
      <c r="E38" s="4" t="str">
        <f t="shared" ref="E38:Q38" si="2">E5</f>
        <v>End of Life</v>
      </c>
      <c r="F38" s="4" t="str">
        <f t="shared" si="2"/>
        <v>Operation</v>
      </c>
      <c r="G38" s="4" t="str">
        <f t="shared" si="2"/>
        <v>Production</v>
      </c>
      <c r="H38" s="4" t="str">
        <f t="shared" si="2"/>
        <v>Raw materials</v>
      </c>
      <c r="I38" s="4"/>
      <c r="J38" s="4" t="str">
        <f t="shared" si="2"/>
        <v>Total CFRP</v>
      </c>
      <c r="K38" s="4" t="str">
        <f t="shared" si="2"/>
        <v>End of Life</v>
      </c>
      <c r="L38" s="4" t="str">
        <f t="shared" si="2"/>
        <v>Operation</v>
      </c>
      <c r="M38" s="4" t="str">
        <f t="shared" si="2"/>
        <v>Production</v>
      </c>
      <c r="N38" s="4" t="str">
        <f t="shared" si="2"/>
        <v>Raw materials</v>
      </c>
      <c r="P38" s="4" t="str">
        <f t="shared" si="2"/>
        <v>AL</v>
      </c>
      <c r="Q38" s="4" t="str">
        <f t="shared" si="2"/>
        <v>CFRP</v>
      </c>
    </row>
    <row r="39" spans="1:27" x14ac:dyDescent="0.25">
      <c r="A39" s="4"/>
      <c r="B39" s="4"/>
      <c r="C39" s="4" t="s">
        <v>46</v>
      </c>
      <c r="D39" s="7">
        <f>D$6/$E$27+D$7/$E$27+D$10/$E$27+D$11/$E$27+D$14/$E$27+D$16/$E$27+D$20/$E$27+D$21/$E$27+D$22/$E$27</f>
        <v>6139.6616941516495</v>
      </c>
      <c r="E39" s="7">
        <f t="shared" ref="E39:Q39" si="3">E$6/$E$27+E$7/$E$27+E$10/$E$27+E$11/$E$27+E$14/$E$27+E$16/$E$27+E$20/$E$27+E$21/$E$27+E$22/$E$27</f>
        <v>-2.6854899189889014</v>
      </c>
      <c r="F39" s="7">
        <f t="shared" si="3"/>
        <v>6123.2321309733261</v>
      </c>
      <c r="G39" s="7">
        <f t="shared" si="3"/>
        <v>0.46883666413869507</v>
      </c>
      <c r="H39" s="7">
        <f t="shared" si="3"/>
        <v>18.646216433172945</v>
      </c>
      <c r="I39" s="7"/>
      <c r="J39" s="7">
        <f>J$6/$E$27+J$7/$E$27+J$10/$E$27+J$11/$E$27+J$14/$E$27+J$16/$E$27+J$20/$E$27+J$21/$E$27+J$22/$E$27</f>
        <v>4480.479253987487</v>
      </c>
      <c r="K39" s="7">
        <f>K$6/$E$27+K$7/$E$27+K$10/$E$27+K$11/$E$27+K$14/$E$27+K$16/$E$27+K$20/$E$27+K$21/$E$27+K$22/$E$27</f>
        <v>0.14636499549456555</v>
      </c>
      <c r="L39" s="7">
        <f t="shared" si="3"/>
        <v>4455.0006965492721</v>
      </c>
      <c r="M39" s="7">
        <f t="shared" si="3"/>
        <v>9.0229942988099623</v>
      </c>
      <c r="N39" s="7">
        <f t="shared" si="3"/>
        <v>16.309198143913111</v>
      </c>
      <c r="O39" s="7"/>
      <c r="P39" s="7">
        <f t="shared" si="3"/>
        <v>19.115053097311645</v>
      </c>
      <c r="Q39" s="7">
        <f t="shared" si="3"/>
        <v>25.33219244272308</v>
      </c>
      <c r="U39" s="1"/>
      <c r="V39" s="1"/>
    </row>
    <row r="40" spans="1:27" x14ac:dyDescent="0.25">
      <c r="A40" s="4"/>
      <c r="B40" s="4"/>
      <c r="C40" s="4" t="s">
        <v>47</v>
      </c>
      <c r="D40" s="7">
        <f>D$8/$E$28+D$12/$E$28+D$13/$D$2/$E$28+D$17/$E$28+D$18/$E$28+D$19/$E$28</f>
        <v>15335.341340409474</v>
      </c>
      <c r="E40" s="7">
        <f t="shared" ref="E40:Q40" si="4">E$8/$E$28+E$12/$E$28+E$13/$D$2/$E$28+E$17/$E$28+E$18/$E$28+E$19/$E$28</f>
        <v>-4.6471897523057031</v>
      </c>
      <c r="F40" s="7">
        <f t="shared" si="4"/>
        <v>15303.592208992526</v>
      </c>
      <c r="G40" s="7">
        <f t="shared" si="4"/>
        <v>1.6889642767545141</v>
      </c>
      <c r="H40" s="7">
        <f t="shared" si="4"/>
        <v>34.707356892506873</v>
      </c>
      <c r="I40" s="7"/>
      <c r="J40" s="7">
        <f>J$8/$E$28+J$12/$E$28+J$13/$D$2/$E$28+J$17/$E$28+J$18/$E$28+J$19/$E$28</f>
        <v>11181.718241276387</v>
      </c>
      <c r="K40" s="7">
        <f>K$8/$E$28+K$12/$E$28+K$13/$D$2/$E$28+K$17/$E$28+K$18/$E$28+K$19/$E$28</f>
        <v>0.61058017949868637</v>
      </c>
      <c r="L40" s="7">
        <f t="shared" si="4"/>
        <v>11133.851132240448</v>
      </c>
      <c r="M40" s="7">
        <f t="shared" si="4"/>
        <v>15.379044210533978</v>
      </c>
      <c r="N40" s="7">
        <f t="shared" si="4"/>
        <v>31.877484645944307</v>
      </c>
      <c r="O40" s="7"/>
      <c r="P40" s="7">
        <f t="shared" si="4"/>
        <v>36.396321169261384</v>
      </c>
      <c r="Q40" s="7">
        <f t="shared" si="4"/>
        <v>47.256528856478276</v>
      </c>
      <c r="U40" s="1"/>
      <c r="V40" s="1"/>
    </row>
    <row r="41" spans="1:27" x14ac:dyDescent="0.25">
      <c r="A41" s="4"/>
      <c r="B41" s="4"/>
      <c r="C41" s="4" t="s">
        <v>48</v>
      </c>
      <c r="D41" s="4">
        <f>D$9/$D$1/$E$29+D$15/$E$29</f>
        <v>22918.880764952642</v>
      </c>
      <c r="E41" s="7">
        <f>E$9/$D$1/$E$29+E$15/$E$29</f>
        <v>-12.563310846718633</v>
      </c>
      <c r="F41" s="7">
        <f t="shared" ref="F41:H41" si="5">F$9/$D$1/$E$29+F$15/$E$29</f>
        <v>22856.855999214615</v>
      </c>
      <c r="G41" s="7">
        <f>G$9/$D$1/$E$29+G$15/$E$29</f>
        <v>9.864152372987423</v>
      </c>
      <c r="H41" s="7">
        <f t="shared" si="5"/>
        <v>64.72392421176535</v>
      </c>
      <c r="I41" s="7"/>
      <c r="J41" s="7">
        <f>J$9/$D$1/$E$29+J$15/$E$29</f>
        <v>16751.798998489798</v>
      </c>
      <c r="K41" s="7">
        <f>K$9/$D$1/$E$29+K$15/$E$29</f>
        <v>0.11847763822242156</v>
      </c>
      <c r="L41" s="7">
        <f t="shared" ref="L41:P41" si="6">L$9/$D$1/$E$29+L$15/$E$29</f>
        <v>16630.600520827265</v>
      </c>
      <c r="M41" s="7">
        <f t="shared" si="6"/>
        <v>40.017273311621786</v>
      </c>
      <c r="N41" s="7">
        <f>N$9/$D$1/$E$29+N$15/$E$29</f>
        <v>81.062726712689241</v>
      </c>
      <c r="O41" s="7"/>
      <c r="P41" s="7">
        <f t="shared" si="6"/>
        <v>74.58807658475277</v>
      </c>
      <c r="Q41" s="7">
        <f>Q$9/$D$1/$E$29+Q$15/$E$29</f>
        <v>121.08000002431105</v>
      </c>
    </row>
    <row r="42" spans="1:27" x14ac:dyDescent="0.25">
      <c r="A42" s="4"/>
      <c r="B42" s="4"/>
      <c r="C42" s="4"/>
      <c r="D42" s="4"/>
      <c r="E42" s="4"/>
      <c r="F42" s="4"/>
      <c r="G42" s="4"/>
      <c r="H42" s="4"/>
      <c r="I42" s="4"/>
      <c r="T42" t="str">
        <f>C44</f>
        <v>Ecosystems</v>
      </c>
      <c r="W42" t="str">
        <f>C45</f>
        <v>Human health</v>
      </c>
      <c r="Z42" t="s">
        <v>85</v>
      </c>
    </row>
    <row r="43" spans="1:27" x14ac:dyDescent="0.25">
      <c r="A43" s="4"/>
      <c r="B43" s="4"/>
      <c r="C43" s="4"/>
      <c r="D43" s="4"/>
      <c r="E43" s="4"/>
      <c r="F43" s="4"/>
      <c r="G43" s="4"/>
      <c r="H43" s="4"/>
      <c r="I43" s="4"/>
      <c r="T43" t="s">
        <v>84</v>
      </c>
      <c r="U43" t="s">
        <v>51</v>
      </c>
      <c r="W43" t="s">
        <v>84</v>
      </c>
      <c r="X43" t="s">
        <v>51</v>
      </c>
      <c r="Z43" t="s">
        <v>49</v>
      </c>
      <c r="AA43" t="s">
        <v>51</v>
      </c>
    </row>
    <row r="44" spans="1:27" x14ac:dyDescent="0.25">
      <c r="A44" s="4"/>
      <c r="B44" s="4"/>
      <c r="C44" s="5" t="s">
        <v>42</v>
      </c>
      <c r="D44" s="7">
        <f>D39*$F$33</f>
        <v>2455864.6776606599</v>
      </c>
      <c r="E44" s="7">
        <f>E39*$F$33</f>
        <v>-1074.1959675955607</v>
      </c>
      <c r="F44" s="7">
        <f t="shared" ref="F44" si="7">F39*$F$33</f>
        <v>2449292.8523893305</v>
      </c>
      <c r="G44" s="7">
        <f>G39*$F$33</f>
        <v>187.53466565547802</v>
      </c>
      <c r="H44" s="7">
        <f>H39*$F$33</f>
        <v>7458.4865732691778</v>
      </c>
      <c r="I44" s="7"/>
      <c r="J44" s="7">
        <f>J39*$F$33</f>
        <v>1792191.7015949949</v>
      </c>
      <c r="K44" s="7">
        <f>K39*$F$33</f>
        <v>58.545998197826222</v>
      </c>
      <c r="L44" s="7">
        <f t="shared" ref="L44:N44" si="8">L39*$F$33</f>
        <v>1782000.278619709</v>
      </c>
      <c r="M44" s="7">
        <f t="shared" si="8"/>
        <v>3609.1977195239851</v>
      </c>
      <c r="N44" s="7">
        <f t="shared" si="8"/>
        <v>6523.6792575652444</v>
      </c>
      <c r="O44" s="7"/>
      <c r="P44" s="7">
        <f t="shared" ref="P44:Q44" si="9">P39*$F$33</f>
        <v>7646.0212389246581</v>
      </c>
      <c r="Q44" s="7">
        <f t="shared" si="9"/>
        <v>10132.876977089232</v>
      </c>
      <c r="S44">
        <v>0</v>
      </c>
      <c r="T44" s="1">
        <f>P44</f>
        <v>7646.0212389246581</v>
      </c>
      <c r="U44" s="1">
        <f>Q44</f>
        <v>10132.876977089232</v>
      </c>
      <c r="W44" s="1">
        <f>P45</f>
        <v>10918.896350778416</v>
      </c>
      <c r="X44" s="1">
        <f>Q45</f>
        <v>14176.958656943483</v>
      </c>
      <c r="Z44" s="1">
        <f>P46</f>
        <v>22376.42297542583</v>
      </c>
      <c r="AA44" s="1">
        <f>Q46</f>
        <v>36324.000007293311</v>
      </c>
    </row>
    <row r="45" spans="1:27" x14ac:dyDescent="0.25">
      <c r="A45" s="4"/>
      <c r="B45" s="4"/>
      <c r="C45" s="5" t="s">
        <v>43</v>
      </c>
      <c r="D45" s="7">
        <f>D40*$F$34</f>
        <v>4600602.4021228421</v>
      </c>
      <c r="E45" s="7">
        <f>E40*$F$34</f>
        <v>-1394.156925691711</v>
      </c>
      <c r="F45" s="7">
        <f t="shared" ref="F45:G45" si="10">F40*$F$34</f>
        <v>4591077.6626977576</v>
      </c>
      <c r="G45" s="7">
        <f t="shared" si="10"/>
        <v>506.68928302635425</v>
      </c>
      <c r="H45" s="7">
        <f>H40*$F$34</f>
        <v>10412.207067752062</v>
      </c>
      <c r="I45" s="7"/>
      <c r="J45" s="7">
        <f>J40*$F$34</f>
        <v>3354515.4723829161</v>
      </c>
      <c r="K45" s="7">
        <f>K40*$F$34</f>
        <v>183.17405384960591</v>
      </c>
      <c r="L45" s="7">
        <f t="shared" ref="L45:N45" si="11">L40*$F$34</f>
        <v>3340155.3396721347</v>
      </c>
      <c r="M45" s="7">
        <f t="shared" si="11"/>
        <v>4613.7132631601935</v>
      </c>
      <c r="N45" s="7">
        <f t="shared" si="11"/>
        <v>9563.2453937832925</v>
      </c>
      <c r="O45" s="7"/>
      <c r="P45" s="7">
        <f t="shared" ref="P45:Q45" si="12">P40*$F$34</f>
        <v>10918.896350778416</v>
      </c>
      <c r="Q45" s="7">
        <f t="shared" si="12"/>
        <v>14176.958656943483</v>
      </c>
      <c r="S45">
        <v>30</v>
      </c>
      <c r="T45" s="1">
        <f>D44</f>
        <v>2455864.6776606599</v>
      </c>
      <c r="U45" s="1">
        <f>J44</f>
        <v>1792191.7015949949</v>
      </c>
      <c r="W45" s="1">
        <f>D45</f>
        <v>4600602.4021228421</v>
      </c>
      <c r="X45" s="1">
        <f>J45</f>
        <v>3354515.4723829161</v>
      </c>
      <c r="Z45" s="1">
        <f>D46</f>
        <v>6875664.229485793</v>
      </c>
      <c r="AA45" s="1">
        <f>J46</f>
        <v>5025539.6995469397</v>
      </c>
    </row>
    <row r="46" spans="1:27" x14ac:dyDescent="0.25">
      <c r="A46" s="4"/>
      <c r="B46" s="4"/>
      <c r="C46" s="5" t="s">
        <v>44</v>
      </c>
      <c r="D46" s="7">
        <f>D41*$F$35</f>
        <v>6875664.229485793</v>
      </c>
      <c r="E46" s="7">
        <f>E41*$F$35</f>
        <v>-3768.9932540155896</v>
      </c>
      <c r="F46" s="7">
        <f t="shared" ref="F46:G46" si="13">F41*$F$35</f>
        <v>6857056.7997643845</v>
      </c>
      <c r="G46" s="7">
        <f t="shared" si="13"/>
        <v>2959.245711896227</v>
      </c>
      <c r="H46" s="7">
        <f>H41*$F$35</f>
        <v>19417.177263529604</v>
      </c>
      <c r="I46" s="7"/>
      <c r="J46" s="7">
        <f>J41*$F$35</f>
        <v>5025539.6995469397</v>
      </c>
      <c r="K46" s="7">
        <f>K41*$F$35</f>
        <v>35.543291466726473</v>
      </c>
      <c r="L46" s="7">
        <f t="shared" ref="L46:N46" si="14">L41*$F$35</f>
        <v>4989180.1562481793</v>
      </c>
      <c r="M46" s="7">
        <f t="shared" si="14"/>
        <v>12005.181993486536</v>
      </c>
      <c r="N46" s="7">
        <f t="shared" si="14"/>
        <v>24318.818013806773</v>
      </c>
      <c r="O46" s="7"/>
      <c r="P46" s="7">
        <f t="shared" ref="P46:Q46" si="15">P41*$F$35</f>
        <v>22376.42297542583</v>
      </c>
      <c r="Q46" s="7">
        <f t="shared" si="15"/>
        <v>36324.000007293311</v>
      </c>
    </row>
    <row r="49" spans="11:17" x14ac:dyDescent="0.25">
      <c r="K49" s="65"/>
      <c r="Q49" s="18" t="s">
        <v>143</v>
      </c>
    </row>
    <row r="50" spans="11:17" x14ac:dyDescent="0.25">
      <c r="K50" s="65"/>
      <c r="Q50" s="18">
        <f>(CFconstructionECo-AlconstrucEco)/AlconstrucEco</f>
        <v>0.32524834295573152</v>
      </c>
    </row>
    <row r="51" spans="11:17" x14ac:dyDescent="0.25">
      <c r="K51" s="65"/>
      <c r="Q51" s="18">
        <f>(CFconstructionECo-AlconstrucEco)/AlconstrucEco</f>
        <v>0.32524834295573152</v>
      </c>
    </row>
    <row r="52" spans="11:17" x14ac:dyDescent="0.25">
      <c r="K52" s="65"/>
      <c r="Q52" s="18">
        <f>(CFconstructionresource-AlconstrucResources)/AlconstrucResources</f>
        <v>0.62331575726759136</v>
      </c>
    </row>
  </sheetData>
  <mergeCells count="1">
    <mergeCell ref="D31:G31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M8" sqref="M8"/>
    </sheetView>
  </sheetViews>
  <sheetFormatPr defaultRowHeight="15" x14ac:dyDescent="0.25"/>
  <sheetData>
    <row r="2" spans="1:15" ht="15.75" thickBot="1" x14ac:dyDescent="0.3">
      <c r="B2" t="s">
        <v>160</v>
      </c>
      <c r="D2" t="s">
        <v>161</v>
      </c>
      <c r="E2" t="s">
        <v>160</v>
      </c>
      <c r="J2" t="s">
        <v>164</v>
      </c>
      <c r="K2" t="s">
        <v>165</v>
      </c>
      <c r="M2" t="s">
        <v>189</v>
      </c>
    </row>
    <row r="3" spans="1:15" ht="15.75" thickBot="1" x14ac:dyDescent="0.3">
      <c r="A3" s="53"/>
      <c r="B3" s="73" t="s">
        <v>157</v>
      </c>
      <c r="C3" s="74"/>
      <c r="H3" s="58" t="s">
        <v>154</v>
      </c>
      <c r="I3" s="59"/>
      <c r="J3" t="s">
        <v>162</v>
      </c>
      <c r="K3" t="s">
        <v>163</v>
      </c>
    </row>
    <row r="4" spans="1:15" ht="15.75" thickBot="1" x14ac:dyDescent="0.3">
      <c r="A4" s="54"/>
      <c r="B4" s="55" t="s">
        <v>55</v>
      </c>
      <c r="C4" s="55" t="s">
        <v>158</v>
      </c>
      <c r="G4" s="53"/>
      <c r="H4" s="55" t="s">
        <v>55</v>
      </c>
      <c r="I4" s="55" t="s">
        <v>155</v>
      </c>
    </row>
    <row r="5" spans="1:15" ht="15.75" thickBot="1" x14ac:dyDescent="0.3">
      <c r="A5" s="54" t="s">
        <v>159</v>
      </c>
      <c r="B5" s="55">
        <v>0</v>
      </c>
      <c r="C5" s="55">
        <v>30</v>
      </c>
      <c r="G5" s="54" t="s">
        <v>159</v>
      </c>
      <c r="H5">
        <v>0</v>
      </c>
      <c r="I5">
        <v>30</v>
      </c>
    </row>
    <row r="6" spans="1:15" ht="15.75" thickBot="1" x14ac:dyDescent="0.3">
      <c r="A6" s="56" t="s">
        <v>42</v>
      </c>
      <c r="B6" s="57">
        <v>7646</v>
      </c>
      <c r="C6" s="57">
        <v>2455865</v>
      </c>
      <c r="D6">
        <f>(C6-B6)/$C$5</f>
        <v>81607.3</v>
      </c>
      <c r="E6">
        <f>B6</f>
        <v>7646</v>
      </c>
      <c r="G6" s="56" t="s">
        <v>42</v>
      </c>
      <c r="H6" s="57">
        <v>10133</v>
      </c>
      <c r="I6" s="57">
        <v>1792192</v>
      </c>
      <c r="J6">
        <f>(I6-H6)/$I$5</f>
        <v>59401.966666666667</v>
      </c>
      <c r="K6">
        <f>H6</f>
        <v>10133</v>
      </c>
      <c r="M6">
        <f>(K6-E6)/(D6-J6)</f>
        <v>0.11200012009126935</v>
      </c>
      <c r="N6">
        <f>12*M6</f>
        <v>1.3440014410952321</v>
      </c>
      <c r="O6">
        <f>ROUNDUP(N6,0)</f>
        <v>2</v>
      </c>
    </row>
    <row r="7" spans="1:15" ht="15.75" thickBot="1" x14ac:dyDescent="0.3">
      <c r="A7" s="56" t="s">
        <v>43</v>
      </c>
      <c r="B7" s="57">
        <v>10919</v>
      </c>
      <c r="C7" s="57">
        <v>4600602</v>
      </c>
      <c r="D7">
        <f t="shared" ref="D7:D8" si="0">(C7-B7)/$C$5</f>
        <v>152989.43333333332</v>
      </c>
      <c r="E7">
        <f t="shared" ref="E7:E8" si="1">B7</f>
        <v>10919</v>
      </c>
      <c r="G7" s="56" t="s">
        <v>43</v>
      </c>
      <c r="H7" s="57">
        <v>14177</v>
      </c>
      <c r="I7" s="57">
        <v>3354515</v>
      </c>
      <c r="J7">
        <f t="shared" ref="J7:J8" si="2">(I7-H7)/$I$5</f>
        <v>111344.6</v>
      </c>
      <c r="K7">
        <f t="shared" ref="K7:K8" si="3">H7</f>
        <v>14177</v>
      </c>
      <c r="M7">
        <f t="shared" ref="M7:M8" si="4">(K7-E7)/(D7-J7)</f>
        <v>7.8232994088902622E-2</v>
      </c>
      <c r="N7">
        <f t="shared" ref="N7:N8" si="5">12*M7</f>
        <v>0.93879592906683151</v>
      </c>
      <c r="O7">
        <f t="shared" ref="O7:O8" si="6">ROUNDUP(N7,0)</f>
        <v>1</v>
      </c>
    </row>
    <row r="8" spans="1:15" ht="15.75" thickBot="1" x14ac:dyDescent="0.3">
      <c r="A8" s="56" t="s">
        <v>44</v>
      </c>
      <c r="B8" s="57">
        <v>22376</v>
      </c>
      <c r="C8" s="57">
        <v>6875664</v>
      </c>
      <c r="D8">
        <f t="shared" si="0"/>
        <v>228442.93333333332</v>
      </c>
      <c r="E8">
        <f t="shared" si="1"/>
        <v>22376</v>
      </c>
      <c r="G8" s="56" t="s">
        <v>44</v>
      </c>
      <c r="H8" s="57">
        <v>36324</v>
      </c>
      <c r="I8" s="57">
        <v>5025540</v>
      </c>
      <c r="J8">
        <f t="shared" si="2"/>
        <v>166307.20000000001</v>
      </c>
      <c r="K8">
        <f t="shared" si="3"/>
        <v>36324</v>
      </c>
      <c r="M8">
        <f t="shared" si="4"/>
        <v>0.22447630778210292</v>
      </c>
      <c r="N8">
        <f t="shared" si="5"/>
        <v>2.6937156933852351</v>
      </c>
      <c r="O8">
        <f t="shared" si="6"/>
        <v>3</v>
      </c>
    </row>
    <row r="10" spans="1:15" x14ac:dyDescent="0.25">
      <c r="B10" t="s">
        <v>166</v>
      </c>
    </row>
    <row r="11" spans="1:15" x14ac:dyDescent="0.25">
      <c r="A11" s="60" t="str">
        <f>A6</f>
        <v>Ecosystems</v>
      </c>
      <c r="B11">
        <f>O6</f>
        <v>2</v>
      </c>
    </row>
    <row r="12" spans="1:15" x14ac:dyDescent="0.25">
      <c r="A12" s="60" t="str">
        <f t="shared" ref="A12:A13" si="7">A7</f>
        <v>Human health</v>
      </c>
      <c r="B12">
        <f t="shared" ref="B12:B13" si="8">O7</f>
        <v>1</v>
      </c>
    </row>
    <row r="13" spans="1:15" x14ac:dyDescent="0.25">
      <c r="A13" s="60" t="str">
        <f t="shared" si="7"/>
        <v>Resources</v>
      </c>
      <c r="B13">
        <f t="shared" si="8"/>
        <v>3</v>
      </c>
    </row>
  </sheetData>
  <mergeCells count="1">
    <mergeCell ref="B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F15" sqref="F15"/>
    </sheetView>
  </sheetViews>
  <sheetFormatPr defaultRowHeight="15" x14ac:dyDescent="0.25"/>
  <cols>
    <col min="1" max="1" width="20.5703125" style="63" bestFit="1" customWidth="1"/>
    <col min="2" max="2" width="15.7109375" style="63" customWidth="1"/>
    <col min="3" max="4" width="9.140625" style="63"/>
    <col min="5" max="5" width="12.85546875" style="63" customWidth="1"/>
    <col min="6" max="16384" width="9.140625" style="63"/>
  </cols>
  <sheetData>
    <row r="1" spans="1:6" x14ac:dyDescent="0.25">
      <c r="A1" s="75" t="s">
        <v>190</v>
      </c>
      <c r="B1" s="76">
        <v>30</v>
      </c>
    </row>
    <row r="2" spans="1:6" x14ac:dyDescent="0.25">
      <c r="A2" s="75" t="s">
        <v>191</v>
      </c>
      <c r="B2" s="77">
        <v>110000</v>
      </c>
      <c r="E2" s="78" t="s">
        <v>192</v>
      </c>
      <c r="F2" s="63">
        <v>1</v>
      </c>
    </row>
    <row r="3" spans="1:6" x14ac:dyDescent="0.25">
      <c r="A3" s="75" t="s">
        <v>193</v>
      </c>
      <c r="B3" s="76">
        <f>6.5</f>
        <v>6.5</v>
      </c>
      <c r="E3" s="78"/>
    </row>
    <row r="4" spans="1:6" x14ac:dyDescent="0.25">
      <c r="A4" s="75" t="s">
        <v>194</v>
      </c>
      <c r="B4" s="76"/>
      <c r="C4" s="63">
        <v>0.1</v>
      </c>
      <c r="D4" s="63">
        <f>2*C4</f>
        <v>0.2</v>
      </c>
    </row>
    <row r="5" spans="1:6" x14ac:dyDescent="0.25">
      <c r="A5" s="75" t="s">
        <v>195</v>
      </c>
      <c r="B5" s="76"/>
      <c r="C5" s="64">
        <f>B2/1.852*16*B3/1000000</f>
        <v>6.1771058315334777</v>
      </c>
      <c r="D5" s="64">
        <f>B2/1.852*22*B3/1000000</f>
        <v>8.4935205183585296</v>
      </c>
    </row>
    <row r="6" spans="1:6" x14ac:dyDescent="0.25">
      <c r="A6" s="75"/>
      <c r="B6" s="76"/>
      <c r="C6" s="64"/>
      <c r="D6" s="64"/>
    </row>
    <row r="7" spans="1:6" x14ac:dyDescent="0.25">
      <c r="C7" s="63" t="s">
        <v>51</v>
      </c>
      <c r="D7" s="63" t="s">
        <v>174</v>
      </c>
    </row>
    <row r="8" spans="1:6" x14ac:dyDescent="0.25">
      <c r="B8" s="63" t="s">
        <v>3</v>
      </c>
      <c r="C8" s="63">
        <f>160/3</f>
        <v>53.333333333333336</v>
      </c>
      <c r="D8" s="63">
        <f>C8*100/120</f>
        <v>44.44444444444445</v>
      </c>
    </row>
    <row r="9" spans="1:6" x14ac:dyDescent="0.25">
      <c r="B9" s="63" t="s">
        <v>196</v>
      </c>
      <c r="C9" s="63">
        <f>C4*B1</f>
        <v>3</v>
      </c>
      <c r="D9" s="63">
        <f>D4*B1</f>
        <v>6</v>
      </c>
    </row>
    <row r="10" spans="1:6" x14ac:dyDescent="0.25">
      <c r="B10" s="63" t="s">
        <v>2</v>
      </c>
      <c r="C10" s="64">
        <f>C5*B1</f>
        <v>185.31317494600432</v>
      </c>
      <c r="D10" s="64">
        <f>D5*B1</f>
        <v>254.80561555075587</v>
      </c>
      <c r="E10" s="64"/>
    </row>
    <row r="11" spans="1:6" x14ac:dyDescent="0.25">
      <c r="B11" s="63" t="s">
        <v>197</v>
      </c>
      <c r="C11" s="63">
        <f>425*28/1000000</f>
        <v>1.1900000000000001E-2</v>
      </c>
      <c r="D11" s="63">
        <f>-2000*37/1000000</f>
        <v>-7.3999999999999996E-2</v>
      </c>
    </row>
    <row r="12" spans="1:6" x14ac:dyDescent="0.25">
      <c r="F12" s="79">
        <f>D49-C49</f>
        <v>63.517651715862598</v>
      </c>
    </row>
    <row r="13" spans="1:6" x14ac:dyDescent="0.25">
      <c r="B13" s="63" t="s">
        <v>198</v>
      </c>
      <c r="C13" s="63">
        <f>SUM(D8:D11)-SUM(C8:C11)</f>
        <v>63.517651715862655</v>
      </c>
    </row>
    <row r="14" spans="1:6" x14ac:dyDescent="0.25">
      <c r="B14" s="63" t="s">
        <v>199</v>
      </c>
      <c r="C14" s="63">
        <f>C13/B1</f>
        <v>2.1172550571954218</v>
      </c>
    </row>
    <row r="18" spans="2:4" x14ac:dyDescent="0.25">
      <c r="C18" s="63" t="s">
        <v>51</v>
      </c>
      <c r="D18" s="63" t="s">
        <v>200</v>
      </c>
    </row>
    <row r="19" spans="2:4" x14ac:dyDescent="0.25">
      <c r="B19" s="63">
        <v>0</v>
      </c>
      <c r="C19" s="63">
        <f>C8</f>
        <v>53.333333333333336</v>
      </c>
      <c r="D19" s="63">
        <f>D8</f>
        <v>44.44444444444445</v>
      </c>
    </row>
    <row r="20" spans="2:4" x14ac:dyDescent="0.25">
      <c r="B20" s="63">
        <v>1</v>
      </c>
      <c r="C20" s="64">
        <f>C19+$C$4+$C$5*$F$2</f>
        <v>59.610439164866818</v>
      </c>
      <c r="D20" s="64">
        <f>D19+$D$4+$D$5*$F$2</f>
        <v>53.137964962802982</v>
      </c>
    </row>
    <row r="21" spans="2:4" x14ac:dyDescent="0.25">
      <c r="B21" s="63">
        <v>2</v>
      </c>
      <c r="C21" s="64">
        <f>C20+$C$4+$C$5*$F$2</f>
        <v>65.887544996400294</v>
      </c>
      <c r="D21" s="64">
        <f t="shared" ref="D21:D50" si="0">D20+$D$4+$D$5*$F$2</f>
        <v>61.831485481161515</v>
      </c>
    </row>
    <row r="22" spans="2:4" x14ac:dyDescent="0.25">
      <c r="B22" s="63">
        <v>3</v>
      </c>
      <c r="C22" s="64">
        <f t="shared" ref="C22:C50" si="1">C21+$C$4+$C$5*$F$2</f>
        <v>72.16465082793377</v>
      </c>
      <c r="D22" s="64">
        <f t="shared" si="0"/>
        <v>70.525005999520047</v>
      </c>
    </row>
    <row r="23" spans="2:4" x14ac:dyDescent="0.25">
      <c r="B23" s="63">
        <v>4</v>
      </c>
      <c r="C23" s="64">
        <f t="shared" si="1"/>
        <v>78.441756659467245</v>
      </c>
      <c r="D23" s="64">
        <f>D22+$D$4+$D$5*$F$2</f>
        <v>79.218526517878587</v>
      </c>
    </row>
    <row r="24" spans="2:4" x14ac:dyDescent="0.25">
      <c r="B24" s="63">
        <v>5</v>
      </c>
      <c r="C24" s="64">
        <f t="shared" si="1"/>
        <v>84.718862491000721</v>
      </c>
      <c r="D24" s="64">
        <f t="shared" si="0"/>
        <v>87.912047036237112</v>
      </c>
    </row>
    <row r="25" spans="2:4" x14ac:dyDescent="0.25">
      <c r="B25" s="63">
        <v>6</v>
      </c>
      <c r="C25" s="64">
        <f t="shared" si="1"/>
        <v>90.995968322534196</v>
      </c>
      <c r="D25" s="64">
        <f t="shared" si="0"/>
        <v>96.605567554595638</v>
      </c>
    </row>
    <row r="26" spans="2:4" x14ac:dyDescent="0.25">
      <c r="B26" s="63">
        <v>7</v>
      </c>
      <c r="C26" s="64">
        <f t="shared" si="1"/>
        <v>97.273074154067672</v>
      </c>
      <c r="D26" s="64">
        <f t="shared" si="0"/>
        <v>105.29908807295416</v>
      </c>
    </row>
    <row r="27" spans="2:4" x14ac:dyDescent="0.25">
      <c r="B27" s="63">
        <v>8</v>
      </c>
      <c r="C27" s="64">
        <f t="shared" si="1"/>
        <v>103.55017998560115</v>
      </c>
      <c r="D27" s="64">
        <f t="shared" si="0"/>
        <v>113.99260859131269</v>
      </c>
    </row>
    <row r="28" spans="2:4" x14ac:dyDescent="0.25">
      <c r="B28" s="63">
        <v>9</v>
      </c>
      <c r="C28" s="64">
        <f t="shared" si="1"/>
        <v>109.82728581713462</v>
      </c>
      <c r="D28" s="64">
        <f t="shared" si="0"/>
        <v>122.68612910967121</v>
      </c>
    </row>
    <row r="29" spans="2:4" x14ac:dyDescent="0.25">
      <c r="B29" s="63">
        <v>10</v>
      </c>
      <c r="C29" s="64">
        <f t="shared" si="1"/>
        <v>116.1043916486681</v>
      </c>
      <c r="D29" s="64">
        <f t="shared" si="0"/>
        <v>131.37964962802974</v>
      </c>
    </row>
    <row r="30" spans="2:4" x14ac:dyDescent="0.25">
      <c r="B30" s="63">
        <v>11</v>
      </c>
      <c r="C30" s="64">
        <f t="shared" si="1"/>
        <v>122.38149748020157</v>
      </c>
      <c r="D30" s="64">
        <f t="shared" si="0"/>
        <v>140.07317014638826</v>
      </c>
    </row>
    <row r="31" spans="2:4" x14ac:dyDescent="0.25">
      <c r="B31" s="63">
        <v>12</v>
      </c>
      <c r="C31" s="64">
        <f t="shared" si="1"/>
        <v>128.65860331173505</v>
      </c>
      <c r="D31" s="64">
        <f t="shared" si="0"/>
        <v>148.76669066474679</v>
      </c>
    </row>
    <row r="32" spans="2:4" x14ac:dyDescent="0.25">
      <c r="B32" s="63">
        <v>13</v>
      </c>
      <c r="C32" s="64">
        <f t="shared" si="1"/>
        <v>134.93570914326853</v>
      </c>
      <c r="D32" s="64">
        <f t="shared" si="0"/>
        <v>157.46021118310532</v>
      </c>
    </row>
    <row r="33" spans="2:6" x14ac:dyDescent="0.25">
      <c r="B33" s="63">
        <v>14</v>
      </c>
      <c r="C33" s="64">
        <f t="shared" si="1"/>
        <v>141.212814974802</v>
      </c>
      <c r="D33" s="64">
        <f t="shared" si="0"/>
        <v>166.15373170146384</v>
      </c>
    </row>
    <row r="34" spans="2:6" x14ac:dyDescent="0.25">
      <c r="B34" s="63">
        <v>15</v>
      </c>
      <c r="C34" s="64">
        <f t="shared" si="1"/>
        <v>147.48992080633548</v>
      </c>
      <c r="D34" s="64">
        <f t="shared" si="0"/>
        <v>174.84725221982237</v>
      </c>
    </row>
    <row r="35" spans="2:6" x14ac:dyDescent="0.25">
      <c r="B35" s="63">
        <v>16</v>
      </c>
      <c r="C35" s="64">
        <f t="shared" si="1"/>
        <v>153.76702663786895</v>
      </c>
      <c r="D35" s="64">
        <f t="shared" si="0"/>
        <v>183.54077273818089</v>
      </c>
    </row>
    <row r="36" spans="2:6" x14ac:dyDescent="0.25">
      <c r="B36" s="63">
        <v>17</v>
      </c>
      <c r="C36" s="64">
        <f t="shared" si="1"/>
        <v>160.04413246940243</v>
      </c>
      <c r="D36" s="64">
        <f t="shared" si="0"/>
        <v>192.23429325653942</v>
      </c>
    </row>
    <row r="37" spans="2:6" x14ac:dyDescent="0.25">
      <c r="B37" s="63">
        <v>18</v>
      </c>
      <c r="C37" s="64">
        <f t="shared" si="1"/>
        <v>166.3212383009359</v>
      </c>
      <c r="D37" s="64">
        <f t="shared" si="0"/>
        <v>200.92781377489794</v>
      </c>
    </row>
    <row r="38" spans="2:6" x14ac:dyDescent="0.25">
      <c r="B38" s="63">
        <v>19</v>
      </c>
      <c r="C38" s="64">
        <f t="shared" si="1"/>
        <v>172.59834413246938</v>
      </c>
      <c r="D38" s="64">
        <f t="shared" si="0"/>
        <v>209.62133429325647</v>
      </c>
    </row>
    <row r="39" spans="2:6" x14ac:dyDescent="0.25">
      <c r="B39" s="63">
        <v>20</v>
      </c>
      <c r="C39" s="64">
        <f t="shared" si="1"/>
        <v>178.87544996400285</v>
      </c>
      <c r="D39" s="64">
        <f t="shared" si="0"/>
        <v>218.31485481161499</v>
      </c>
    </row>
    <row r="40" spans="2:6" x14ac:dyDescent="0.25">
      <c r="B40" s="63">
        <v>21</v>
      </c>
      <c r="C40" s="64">
        <f t="shared" si="1"/>
        <v>185.15255579553633</v>
      </c>
      <c r="D40" s="64">
        <f t="shared" si="0"/>
        <v>227.00837532997352</v>
      </c>
    </row>
    <row r="41" spans="2:6" x14ac:dyDescent="0.25">
      <c r="B41" s="63">
        <v>22</v>
      </c>
      <c r="C41" s="64">
        <f t="shared" si="1"/>
        <v>191.42966162706981</v>
      </c>
      <c r="D41" s="64">
        <f t="shared" si="0"/>
        <v>235.70189584833204</v>
      </c>
    </row>
    <row r="42" spans="2:6" x14ac:dyDescent="0.25">
      <c r="B42" s="63">
        <v>23</v>
      </c>
      <c r="C42" s="64">
        <f t="shared" si="1"/>
        <v>197.70676745860328</v>
      </c>
      <c r="D42" s="64">
        <f t="shared" si="0"/>
        <v>244.39541636669057</v>
      </c>
    </row>
    <row r="43" spans="2:6" x14ac:dyDescent="0.25">
      <c r="B43" s="63">
        <v>24</v>
      </c>
      <c r="C43" s="64">
        <f t="shared" si="1"/>
        <v>203.98387329013676</v>
      </c>
      <c r="D43" s="64">
        <f t="shared" si="0"/>
        <v>253.08893688504909</v>
      </c>
    </row>
    <row r="44" spans="2:6" x14ac:dyDescent="0.25">
      <c r="B44" s="63">
        <v>25</v>
      </c>
      <c r="C44" s="64">
        <f t="shared" si="1"/>
        <v>210.26097912167023</v>
      </c>
      <c r="D44" s="64">
        <f t="shared" si="0"/>
        <v>261.78245740340759</v>
      </c>
    </row>
    <row r="45" spans="2:6" x14ac:dyDescent="0.25">
      <c r="B45" s="63">
        <v>26</v>
      </c>
      <c r="C45" s="64">
        <f t="shared" si="1"/>
        <v>216.53808495320371</v>
      </c>
      <c r="D45" s="64">
        <f t="shared" si="0"/>
        <v>270.47597792176612</v>
      </c>
    </row>
    <row r="46" spans="2:6" x14ac:dyDescent="0.25">
      <c r="B46" s="63">
        <v>27</v>
      </c>
      <c r="C46" s="64">
        <f t="shared" si="1"/>
        <v>222.81519078473718</v>
      </c>
      <c r="D46" s="64">
        <f t="shared" si="0"/>
        <v>279.16949844012464</v>
      </c>
    </row>
    <row r="47" spans="2:6" x14ac:dyDescent="0.25">
      <c r="B47" s="63">
        <v>28</v>
      </c>
      <c r="C47" s="64">
        <f t="shared" si="1"/>
        <v>229.09229661627066</v>
      </c>
      <c r="D47" s="64">
        <f t="shared" si="0"/>
        <v>287.86301895848317</v>
      </c>
      <c r="F47" s="80"/>
    </row>
    <row r="48" spans="2:6" x14ac:dyDescent="0.25">
      <c r="B48" s="63">
        <v>29</v>
      </c>
      <c r="C48" s="64">
        <f t="shared" si="1"/>
        <v>235.36940244780413</v>
      </c>
      <c r="D48" s="64">
        <f t="shared" si="0"/>
        <v>296.55653947684169</v>
      </c>
      <c r="F48" s="80"/>
    </row>
    <row r="49" spans="2:6" x14ac:dyDescent="0.25">
      <c r="B49" s="63">
        <v>30</v>
      </c>
      <c r="C49" s="64">
        <f>C48+$C$4+$C$5*$F$2+C11</f>
        <v>241.65840827933761</v>
      </c>
      <c r="D49" s="64">
        <f>D48+$D$4+$D$5*$F$2+D11</f>
        <v>305.17605999520021</v>
      </c>
      <c r="F49" s="80"/>
    </row>
    <row r="50" spans="2:6" x14ac:dyDescent="0.25">
      <c r="B50" s="63">
        <v>31</v>
      </c>
      <c r="C50" s="64">
        <f t="shared" si="1"/>
        <v>247.93551411087108</v>
      </c>
      <c r="D50" s="64">
        <f t="shared" si="0"/>
        <v>313.86958051355873</v>
      </c>
      <c r="F50" s="80"/>
    </row>
  </sheetData>
  <mergeCells count="1">
    <mergeCell ref="E2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67"/>
  <sheetViews>
    <sheetView workbookViewId="0">
      <selection activeCell="F67" sqref="F67"/>
    </sheetView>
  </sheetViews>
  <sheetFormatPr defaultRowHeight="15" x14ac:dyDescent="0.25"/>
  <cols>
    <col min="1" max="1" width="13.7109375" bestFit="1" customWidth="1"/>
    <col min="2" max="2" width="8.5703125" bestFit="1" customWidth="1"/>
    <col min="3" max="3" width="38.28515625" bestFit="1" customWidth="1"/>
    <col min="4" max="4" width="20.42578125" bestFit="1" customWidth="1"/>
    <col min="5" max="5" width="19.140625" bestFit="1" customWidth="1"/>
    <col min="6" max="6" width="19.5703125" bestFit="1" customWidth="1"/>
    <col min="7" max="7" width="18.42578125" bestFit="1" customWidth="1"/>
    <col min="8" max="8" width="19.42578125" bestFit="1" customWidth="1"/>
    <col min="9" max="9" width="18.85546875" bestFit="1" customWidth="1"/>
    <col min="10" max="13" width="12" bestFit="1" customWidth="1"/>
    <col min="14" max="14" width="13.5703125" bestFit="1" customWidth="1"/>
    <col min="17" max="17" width="13.42578125" bestFit="1" customWidth="1"/>
    <col min="18" max="18" width="10.5703125" bestFit="1" customWidth="1"/>
    <col min="21" max="21" width="10.5703125" bestFit="1" customWidth="1"/>
    <col min="22" max="22" width="10.140625" bestFit="1" customWidth="1"/>
    <col min="23" max="23" width="10.140625" customWidth="1"/>
    <col min="24" max="24" width="10.140625" bestFit="1" customWidth="1"/>
    <col min="25" max="25" width="14.42578125" bestFit="1" customWidth="1"/>
    <col min="26" max="26" width="10.5703125" bestFit="1" customWidth="1"/>
    <col min="28" max="28" width="15" bestFit="1" customWidth="1"/>
    <col min="29" max="29" width="10.5703125" bestFit="1" customWidth="1"/>
    <col min="30" max="30" width="10.5703125" customWidth="1"/>
    <col min="31" max="31" width="28.5703125" bestFit="1" customWidth="1"/>
    <col min="38" max="38" width="22.85546875" customWidth="1"/>
    <col min="39" max="42" width="16" bestFit="1" customWidth="1"/>
    <col min="44" max="44" width="26.85546875" customWidth="1"/>
    <col min="49" max="49" width="11.140625" bestFit="1" customWidth="1"/>
    <col min="51" max="51" width="12.85546875" customWidth="1"/>
    <col min="66" max="66" width="57.85546875" bestFit="1" customWidth="1"/>
    <col min="67" max="67" width="14.42578125" bestFit="1" customWidth="1"/>
    <col min="76" max="76" width="60.140625" bestFit="1" customWidth="1"/>
    <col min="80" max="80" width="57.85546875" bestFit="1" customWidth="1"/>
    <col min="88" max="88" width="57.85546875" bestFit="1" customWidth="1"/>
    <col min="110" max="110" width="9.140625" style="63"/>
    <col min="117" max="117" width="9.140625" style="63"/>
  </cols>
  <sheetData>
    <row r="1" spans="1:122" x14ac:dyDescent="0.25">
      <c r="A1" s="4"/>
      <c r="B1" s="4"/>
      <c r="C1" s="4" t="s">
        <v>6</v>
      </c>
      <c r="D1" s="4">
        <v>100</v>
      </c>
      <c r="E1" s="4"/>
      <c r="F1" s="4"/>
      <c r="G1" s="4"/>
      <c r="H1" s="4"/>
      <c r="I1" s="4"/>
    </row>
    <row r="2" spans="1:122" x14ac:dyDescent="0.25">
      <c r="A2" s="4" t="s">
        <v>0</v>
      </c>
      <c r="B2" s="4"/>
      <c r="C2" s="5" t="s">
        <v>7</v>
      </c>
      <c r="D2" s="4">
        <f>1000000</f>
        <v>1000000</v>
      </c>
      <c r="E2" s="4"/>
      <c r="F2" s="4"/>
      <c r="G2" s="4"/>
      <c r="H2" s="4"/>
      <c r="I2" s="4"/>
      <c r="AL2" s="35" t="s">
        <v>133</v>
      </c>
      <c r="AM2" s="35"/>
    </row>
    <row r="3" spans="1:122" x14ac:dyDescent="0.25">
      <c r="A3" s="4"/>
      <c r="B3" s="4"/>
      <c r="C3" s="4"/>
      <c r="D3" s="4"/>
      <c r="E3" s="4"/>
      <c r="F3" s="4"/>
      <c r="G3" s="4"/>
      <c r="H3" s="4"/>
      <c r="I3" s="4"/>
      <c r="CA3" s="61"/>
      <c r="CB3" s="61"/>
      <c r="CC3" s="61"/>
      <c r="CD3" s="61"/>
    </row>
    <row r="4" spans="1:122" x14ac:dyDescent="0.25">
      <c r="A4" s="4"/>
      <c r="B4" s="4"/>
      <c r="C4" s="6" t="s">
        <v>8</v>
      </c>
      <c r="D4" s="4" t="s">
        <v>116</v>
      </c>
      <c r="E4" s="4"/>
      <c r="F4" s="6"/>
      <c r="G4" s="4"/>
      <c r="H4" s="4"/>
      <c r="I4" s="4"/>
      <c r="J4" t="s">
        <v>117</v>
      </c>
      <c r="L4" s="2"/>
      <c r="Q4" t="s">
        <v>119</v>
      </c>
      <c r="X4" t="s">
        <v>121</v>
      </c>
      <c r="AE4" t="s">
        <v>123</v>
      </c>
      <c r="AL4" t="s">
        <v>125</v>
      </c>
      <c r="AR4" t="s">
        <v>127</v>
      </c>
      <c r="AY4" t="s">
        <v>129</v>
      </c>
      <c r="BF4" t="s">
        <v>130</v>
      </c>
      <c r="BN4" t="s">
        <v>167</v>
      </c>
      <c r="BX4" s="68" t="s">
        <v>183</v>
      </c>
      <c r="BY4" s="68"/>
      <c r="CA4" s="61"/>
      <c r="CB4" s="61"/>
      <c r="CC4" s="61" t="s">
        <v>173</v>
      </c>
      <c r="CS4" t="s">
        <v>185</v>
      </c>
      <c r="CZ4" t="s">
        <v>178</v>
      </c>
      <c r="DG4" t="s">
        <v>180</v>
      </c>
      <c r="DN4" t="s">
        <v>181</v>
      </c>
    </row>
    <row r="5" spans="1:122" x14ac:dyDescent="0.25">
      <c r="A5" s="4"/>
      <c r="B5" s="4"/>
      <c r="D5" s="2" t="s">
        <v>115</v>
      </c>
      <c r="E5" t="s">
        <v>1</v>
      </c>
      <c r="F5" t="s">
        <v>2</v>
      </c>
      <c r="G5" t="s">
        <v>3</v>
      </c>
      <c r="H5" t="s">
        <v>5</v>
      </c>
      <c r="J5" s="2" t="s">
        <v>118</v>
      </c>
      <c r="K5" t="s">
        <v>1</v>
      </c>
      <c r="L5" t="s">
        <v>2</v>
      </c>
      <c r="M5" t="s">
        <v>3</v>
      </c>
      <c r="N5" t="s">
        <v>5</v>
      </c>
      <c r="Q5" s="2" t="s">
        <v>120</v>
      </c>
      <c r="R5" t="s">
        <v>1</v>
      </c>
      <c r="S5" t="s">
        <v>2</v>
      </c>
      <c r="T5" t="s">
        <v>3</v>
      </c>
      <c r="U5" t="s">
        <v>5</v>
      </c>
      <c r="X5" s="2" t="s">
        <v>122</v>
      </c>
      <c r="Y5" t="s">
        <v>1</v>
      </c>
      <c r="Z5" t="s">
        <v>2</v>
      </c>
      <c r="AA5" t="s">
        <v>3</v>
      </c>
      <c r="AB5" t="s">
        <v>5</v>
      </c>
      <c r="AE5" t="s">
        <v>124</v>
      </c>
      <c r="AF5" t="s">
        <v>1</v>
      </c>
      <c r="AG5" t="s">
        <v>2</v>
      </c>
      <c r="AH5" t="s">
        <v>3</v>
      </c>
      <c r="AI5" t="s">
        <v>5</v>
      </c>
      <c r="AL5" t="s">
        <v>126</v>
      </c>
      <c r="AM5" t="s">
        <v>1</v>
      </c>
      <c r="AN5" t="s">
        <v>2</v>
      </c>
      <c r="AO5" t="s">
        <v>3</v>
      </c>
      <c r="AP5" t="s">
        <v>5</v>
      </c>
      <c r="AR5" t="s">
        <v>128</v>
      </c>
      <c r="AS5" t="s">
        <v>1</v>
      </c>
      <c r="AT5" t="s">
        <v>2</v>
      </c>
      <c r="AU5" t="s">
        <v>3</v>
      </c>
      <c r="AV5" t="s">
        <v>5</v>
      </c>
      <c r="AY5" t="s">
        <v>128</v>
      </c>
      <c r="AZ5" t="s">
        <v>1</v>
      </c>
      <c r="BA5" t="s">
        <v>2</v>
      </c>
      <c r="BB5" t="s">
        <v>3</v>
      </c>
      <c r="BC5" t="s">
        <v>5</v>
      </c>
      <c r="BF5" t="s">
        <v>134</v>
      </c>
      <c r="BG5" t="s">
        <v>1</v>
      </c>
      <c r="BH5" t="s">
        <v>2</v>
      </c>
      <c r="BI5" t="s">
        <v>3</v>
      </c>
      <c r="BJ5" t="s">
        <v>5</v>
      </c>
      <c r="BO5" t="s">
        <v>168</v>
      </c>
      <c r="BP5" s="61" t="s">
        <v>1</v>
      </c>
      <c r="BQ5" s="61" t="s">
        <v>2</v>
      </c>
      <c r="BR5" s="61" t="s">
        <v>3</v>
      </c>
      <c r="BS5" s="61" t="s">
        <v>5</v>
      </c>
      <c r="BT5" s="61"/>
      <c r="BX5" s="61" t="s">
        <v>62</v>
      </c>
      <c r="BY5" s="61" t="s">
        <v>169</v>
      </c>
      <c r="CA5" s="61"/>
      <c r="CB5" s="61"/>
      <c r="CC5" s="61" t="s">
        <v>172</v>
      </c>
      <c r="CD5" s="63" t="s">
        <v>1</v>
      </c>
      <c r="CE5" s="63" t="s">
        <v>2</v>
      </c>
      <c r="CF5" s="63" t="s">
        <v>3</v>
      </c>
      <c r="CG5" s="63" t="s">
        <v>5</v>
      </c>
      <c r="CJ5" t="s">
        <v>176</v>
      </c>
      <c r="CK5" s="63" t="s">
        <v>172</v>
      </c>
      <c r="CL5" s="63" t="s">
        <v>1</v>
      </c>
      <c r="CM5" s="63" t="s">
        <v>2</v>
      </c>
      <c r="CN5" s="63" t="s">
        <v>3</v>
      </c>
      <c r="CO5" s="63" t="s">
        <v>5</v>
      </c>
      <c r="CS5" s="63" t="s">
        <v>172</v>
      </c>
      <c r="CT5" s="63" t="s">
        <v>1</v>
      </c>
      <c r="CU5" s="63" t="s">
        <v>2</v>
      </c>
      <c r="CV5" s="63" t="s">
        <v>3</v>
      </c>
      <c r="CW5" s="63" t="s">
        <v>5</v>
      </c>
      <c r="CZ5" s="63" t="s">
        <v>172</v>
      </c>
      <c r="DA5" s="63" t="s">
        <v>1</v>
      </c>
      <c r="DB5" s="63" t="s">
        <v>2</v>
      </c>
      <c r="DC5" s="63" t="s">
        <v>3</v>
      </c>
      <c r="DD5" s="63" t="s">
        <v>5</v>
      </c>
      <c r="DG5" s="63" t="s">
        <v>172</v>
      </c>
      <c r="DH5" s="63" t="s">
        <v>1</v>
      </c>
      <c r="DI5" s="63" t="s">
        <v>2</v>
      </c>
      <c r="DJ5" s="63" t="s">
        <v>3</v>
      </c>
      <c r="DK5" s="63" t="s">
        <v>5</v>
      </c>
      <c r="DN5" s="63" t="s">
        <v>172</v>
      </c>
      <c r="DO5" s="63" t="s">
        <v>1</v>
      </c>
      <c r="DP5" s="63" t="s">
        <v>2</v>
      </c>
      <c r="DQ5" s="63" t="s">
        <v>3</v>
      </c>
      <c r="DR5" s="63" t="s">
        <v>5</v>
      </c>
    </row>
    <row r="6" spans="1:122" x14ac:dyDescent="0.25">
      <c r="A6" s="4"/>
      <c r="B6" s="4"/>
      <c r="C6" s="3" t="s">
        <v>9</v>
      </c>
      <c r="D6" s="29">
        <v>1.0211660700929299E-3</v>
      </c>
      <c r="E6" s="30">
        <v>-1.5033585443391401E-5</v>
      </c>
      <c r="F6" s="29">
        <v>9.6446470455256999E-4</v>
      </c>
      <c r="G6" s="30">
        <v>-3.8623883252120001E-7</v>
      </c>
      <c r="H6" s="30">
        <v>7.2121189816275595E-5</v>
      </c>
      <c r="J6" s="8">
        <v>1.0538743384825001E-3</v>
      </c>
      <c r="K6" s="9">
        <v>-2.5058071106991399E-5</v>
      </c>
      <c r="L6" s="8">
        <v>9.6446470455256999E-4</v>
      </c>
      <c r="M6" s="9">
        <v>-5.7342779902019999E-6</v>
      </c>
      <c r="N6" s="8">
        <v>1.2020198302712601E-4</v>
      </c>
      <c r="Q6" s="8">
        <v>1.0325165654346399E-3</v>
      </c>
      <c r="R6" s="9">
        <v>-1.85421554256514E-5</v>
      </c>
      <c r="S6" s="8">
        <v>9.6446470455256999E-4</v>
      </c>
      <c r="T6" s="9">
        <v>-2.3554511323542998E-6</v>
      </c>
      <c r="U6" s="9">
        <v>8.8949467440073199E-5</v>
      </c>
      <c r="X6" s="8">
        <v>1.03299428235123E-3</v>
      </c>
      <c r="Y6" s="9">
        <v>-1.85421554256514E-5</v>
      </c>
      <c r="Z6" s="8">
        <v>9.6446470455256999E-4</v>
      </c>
      <c r="AA6" s="9">
        <v>-1.8777342157630401E-6</v>
      </c>
      <c r="AB6" s="9">
        <v>8.8949467440073199E-5</v>
      </c>
      <c r="AE6" s="8">
        <v>1.0325172677225899E-3</v>
      </c>
      <c r="AF6" s="9">
        <v>-1.85421554256514E-5</v>
      </c>
      <c r="AG6" s="8">
        <v>9.6446470455256999E-4</v>
      </c>
      <c r="AH6" s="9">
        <v>-2.25805253770948E-6</v>
      </c>
      <c r="AI6" s="9">
        <v>8.8852771133379302E-5</v>
      </c>
      <c r="AL6" s="8">
        <v>1.03271066033598E-3</v>
      </c>
      <c r="AM6" s="9">
        <v>-1.85421554256514E-5</v>
      </c>
      <c r="AN6" s="8">
        <v>9.6446470455256999E-4</v>
      </c>
      <c r="AO6" s="9">
        <v>-2.25805253770948E-6</v>
      </c>
      <c r="AP6" s="9">
        <v>8.9046163746767204E-5</v>
      </c>
      <c r="AR6">
        <v>9.0578687335252496E-4</v>
      </c>
      <c r="AS6" s="1">
        <v>1.2304986583539201E-7</v>
      </c>
      <c r="AT6">
        <v>7.0214856402244495E-4</v>
      </c>
      <c r="AU6" s="1">
        <v>2.0982022235165799E-5</v>
      </c>
      <c r="AV6">
        <v>1.8253323722907899E-4</v>
      </c>
      <c r="AY6">
        <v>9.0600781263946203E-4</v>
      </c>
      <c r="AZ6" s="1">
        <v>1.2304986583539201E-7</v>
      </c>
      <c r="BA6">
        <v>7.0214856402244495E-4</v>
      </c>
      <c r="BB6" s="1">
        <v>2.0982022235165799E-5</v>
      </c>
      <c r="BC6">
        <v>1.82754176516016E-4</v>
      </c>
      <c r="BF6">
        <v>9.2102307022938598E-4</v>
      </c>
      <c r="BG6" s="1">
        <v>1.2304986583539201E-7</v>
      </c>
      <c r="BH6">
        <v>7.0214856402244495E-4</v>
      </c>
      <c r="BI6" s="1">
        <v>2.09820225440172E-5</v>
      </c>
      <c r="BJ6">
        <v>1.97769433797089E-4</v>
      </c>
      <c r="BN6" s="61" t="s">
        <v>88</v>
      </c>
      <c r="BO6" s="61">
        <v>9.0811336792943204E-4</v>
      </c>
      <c r="BP6" s="62">
        <v>1.2295624592467201E-7</v>
      </c>
      <c r="BQ6" s="61">
        <v>7.0214856402244495E-4</v>
      </c>
      <c r="BR6" s="62">
        <v>2.3144460905311202E-5</v>
      </c>
      <c r="BS6" s="61">
        <v>1.8269738675575199E-4</v>
      </c>
      <c r="BV6" s="61"/>
      <c r="BW6" s="61"/>
      <c r="BX6" s="62">
        <v>1.7066374544000001E-12</v>
      </c>
      <c r="BY6" s="62">
        <v>2.0928671728000001E-10</v>
      </c>
      <c r="BZ6" s="61"/>
      <c r="CA6" s="61"/>
      <c r="CB6" s="61"/>
      <c r="CC6" s="63">
        <v>9.0438679363617704E-4</v>
      </c>
      <c r="CD6" s="64">
        <v>1.2304986583539201E-7</v>
      </c>
      <c r="CE6" s="63">
        <v>7.0214856402244495E-4</v>
      </c>
      <c r="CF6" s="64">
        <v>2.0971729439569598E-5</v>
      </c>
      <c r="CG6" s="63">
        <v>1.8114345030832699E-4</v>
      </c>
      <c r="CJ6" s="63" t="s">
        <v>88</v>
      </c>
      <c r="CK6" s="63">
        <v>9.0537617122542105E-4</v>
      </c>
      <c r="CL6" s="64">
        <v>1.2304986583539201E-7</v>
      </c>
      <c r="CM6" s="63">
        <v>7.0157328790282304E-4</v>
      </c>
      <c r="CN6" s="64">
        <v>2.0982022235165799E-5</v>
      </c>
      <c r="CO6" s="63">
        <v>1.8269781122159701E-4</v>
      </c>
      <c r="CS6" s="63">
        <v>9.0592918800104299E-4</v>
      </c>
      <c r="CT6" s="64">
        <v>1.2304986583539201E-7</v>
      </c>
      <c r="CU6" s="63">
        <v>7.0214856402244495E-4</v>
      </c>
      <c r="CV6" s="64">
        <v>2.0978609269108301E-5</v>
      </c>
      <c r="CW6" s="63">
        <v>1.82678964843654E-4</v>
      </c>
      <c r="CZ6" s="63">
        <v>9.0597370042709601E-4</v>
      </c>
      <c r="DA6" s="64">
        <v>1.2304986583539201E-7</v>
      </c>
      <c r="DB6" s="63">
        <v>7.0214856402244495E-4</v>
      </c>
      <c r="DC6" s="64">
        <v>2.0985435818925998E-5</v>
      </c>
      <c r="DD6" s="63">
        <v>1.82716650719889E-4</v>
      </c>
      <c r="DG6" s="63">
        <v>8.7155303455362099E-4</v>
      </c>
      <c r="DH6" s="64">
        <v>1.2304986583539201E-7</v>
      </c>
      <c r="DI6" s="63">
        <v>7.0214856402244495E-4</v>
      </c>
      <c r="DJ6" s="64">
        <v>2.0981867500615801E-5</v>
      </c>
      <c r="DK6" s="63">
        <v>1.48299553164724E-4</v>
      </c>
      <c r="DN6" s="63">
        <v>9.4034985325681399E-4</v>
      </c>
      <c r="DO6" s="64">
        <v>1.2304986583539201E-7</v>
      </c>
      <c r="DP6" s="63">
        <v>7.0214856402244495E-4</v>
      </c>
      <c r="DQ6" s="64">
        <v>2.0982176969715802E-5</v>
      </c>
      <c r="DR6" s="63">
        <v>2.17096062398818E-4</v>
      </c>
    </row>
    <row r="7" spans="1:122" x14ac:dyDescent="0.25">
      <c r="A7" s="4"/>
      <c r="B7" s="4"/>
      <c r="C7" t="s">
        <v>10</v>
      </c>
      <c r="D7" s="29">
        <v>0.983784926550478</v>
      </c>
      <c r="E7" s="29">
        <v>-3.4227342787154102E-4</v>
      </c>
      <c r="F7" s="29">
        <v>0.981457642266511</v>
      </c>
      <c r="G7" s="29">
        <v>1.3056943365395501E-4</v>
      </c>
      <c r="H7" s="29">
        <v>2.5389882781838499E-3</v>
      </c>
      <c r="J7" s="8">
        <v>0.98512988345984398</v>
      </c>
      <c r="K7" s="8">
        <v>-5.7073917480132501E-4</v>
      </c>
      <c r="L7" s="8">
        <v>0.981457642266511</v>
      </c>
      <c r="M7" s="9">
        <v>1.13332378277838E-5</v>
      </c>
      <c r="N7" s="8">
        <v>4.23164713030642E-3</v>
      </c>
      <c r="Q7" s="8">
        <v>0.98424948236502496</v>
      </c>
      <c r="R7" s="8">
        <v>-4.22236439296965E-4</v>
      </c>
      <c r="S7" s="8">
        <v>0.981457642266511</v>
      </c>
      <c r="T7" s="9">
        <v>8.2657661384289205E-5</v>
      </c>
      <c r="U7" s="8">
        <v>3.1314188764267501E-3</v>
      </c>
      <c r="X7" s="8">
        <v>0.98427978939760896</v>
      </c>
      <c r="Y7" s="8">
        <v>-4.22236439296965E-4</v>
      </c>
      <c r="Z7" s="8">
        <v>0.981457642266511</v>
      </c>
      <c r="AA7" s="8">
        <v>1.12964693967248E-4</v>
      </c>
      <c r="AB7" s="8">
        <v>3.1314188764267501E-3</v>
      </c>
      <c r="AE7" s="8">
        <v>0.98423134522300204</v>
      </c>
      <c r="AF7" s="8">
        <v>-4.22236439296965E-4</v>
      </c>
      <c r="AG7" s="8">
        <v>0.981457642266511</v>
      </c>
      <c r="AH7" s="9">
        <v>8.8836765114795306E-5</v>
      </c>
      <c r="AI7" s="8">
        <v>3.1071026306727098E-3</v>
      </c>
      <c r="AL7" s="8">
        <v>0.98427997771451003</v>
      </c>
      <c r="AM7" s="8">
        <v>-4.22236439296965E-4</v>
      </c>
      <c r="AN7" s="8">
        <v>0.981457642266511</v>
      </c>
      <c r="AO7" s="9">
        <v>8.8836765114795306E-5</v>
      </c>
      <c r="AP7" s="8">
        <v>3.15573512218079E-3</v>
      </c>
      <c r="AR7">
        <v>0.71834076935789204</v>
      </c>
      <c r="AS7" s="1">
        <v>2.5307868158581601E-5</v>
      </c>
      <c r="AT7">
        <v>0.71408107539659404</v>
      </c>
      <c r="AU7">
        <v>1.54264424269683E-3</v>
      </c>
      <c r="AV7">
        <v>2.6917418504425702E-3</v>
      </c>
      <c r="AY7">
        <v>0.71837761470005101</v>
      </c>
      <c r="AZ7" s="1">
        <v>2.5307868158581601E-5</v>
      </c>
      <c r="BA7">
        <v>0.71408107539659404</v>
      </c>
      <c r="BB7">
        <v>1.54264424269683E-3</v>
      </c>
      <c r="BC7">
        <v>2.7285871926019298E-3</v>
      </c>
      <c r="BF7">
        <v>0.71849395335817001</v>
      </c>
      <c r="BG7" s="1">
        <v>2.5307868158581601E-5</v>
      </c>
      <c r="BH7">
        <v>0.71408107539659404</v>
      </c>
      <c r="BI7">
        <v>1.5426481331003699E-3</v>
      </c>
      <c r="BJ7">
        <v>2.84492196031675E-3</v>
      </c>
      <c r="BN7" s="61" t="s">
        <v>89</v>
      </c>
      <c r="BO7" s="61">
        <v>0.71830221405643901</v>
      </c>
      <c r="BP7" s="62">
        <v>1.4945502022025399E-5</v>
      </c>
      <c r="BQ7" s="61">
        <v>0.71408107539659404</v>
      </c>
      <c r="BR7" s="61">
        <v>1.4870359369431299E-3</v>
      </c>
      <c r="BS7" s="61">
        <v>2.7191572208796698E-3</v>
      </c>
      <c r="BV7" s="61"/>
      <c r="BW7" s="61"/>
      <c r="BX7" s="62">
        <v>2.37588694693919E-8</v>
      </c>
      <c r="BY7" s="62">
        <v>1.8173563886278598E-8</v>
      </c>
      <c r="BZ7" s="61"/>
      <c r="CA7" s="61"/>
      <c r="CB7" s="61"/>
      <c r="CC7" s="63">
        <v>0.71788183483903001</v>
      </c>
      <c r="CD7" s="64">
        <v>2.5307868158581601E-5</v>
      </c>
      <c r="CE7" s="63">
        <v>0.71408107539659404</v>
      </c>
      <c r="CF7" s="63">
        <v>1.4389501776067601E-3</v>
      </c>
      <c r="CG7" s="63">
        <v>2.3365013966705102E-3</v>
      </c>
      <c r="CJ7" s="63" t="s">
        <v>89</v>
      </c>
      <c r="CK7" s="63">
        <v>0.71822147189874597</v>
      </c>
      <c r="CL7" s="64">
        <v>2.5307868158581601E-5</v>
      </c>
      <c r="CM7" s="63">
        <v>0.713934332456163</v>
      </c>
      <c r="CN7" s="63">
        <v>1.54264424269683E-3</v>
      </c>
      <c r="CO7" s="63">
        <v>2.7191873317280401E-3</v>
      </c>
      <c r="CS7" s="63">
        <v>0.71826499208749395</v>
      </c>
      <c r="CT7" s="64">
        <v>2.5307868158581601E-5</v>
      </c>
      <c r="CU7" s="63">
        <v>0.71408107539659404</v>
      </c>
      <c r="CV7" s="63">
        <v>1.49513039416158E-3</v>
      </c>
      <c r="CW7" s="63">
        <v>2.6634784285798499E-3</v>
      </c>
      <c r="CZ7" s="63">
        <v>0.71847144537094798</v>
      </c>
      <c r="DA7" s="64">
        <v>2.5307868158581601E-5</v>
      </c>
      <c r="DB7" s="63">
        <v>0.71408107539659404</v>
      </c>
      <c r="DC7" s="63">
        <v>1.59016587203915E-3</v>
      </c>
      <c r="DD7" s="63">
        <v>2.7748962341566899E-3</v>
      </c>
      <c r="DG7" s="63">
        <v>0.71836266801792203</v>
      </c>
      <c r="DH7" s="64">
        <v>2.5307868158581601E-5</v>
      </c>
      <c r="DI7" s="63">
        <v>0.71408107539659404</v>
      </c>
      <c r="DJ7" s="63">
        <v>1.54069515050495E-3</v>
      </c>
      <c r="DK7" s="63">
        <v>2.7155896026643698E-3</v>
      </c>
      <c r="DN7" s="63">
        <v>0.71837376165971301</v>
      </c>
      <c r="DO7" s="64">
        <v>2.5307868158581601E-5</v>
      </c>
      <c r="DP7" s="63">
        <v>0.71408107539659404</v>
      </c>
      <c r="DQ7" s="63">
        <v>1.54459333488871E-3</v>
      </c>
      <c r="DR7" s="63">
        <v>2.72278506007217E-3</v>
      </c>
    </row>
    <row r="8" spans="1:122" x14ac:dyDescent="0.25">
      <c r="A8" s="4"/>
      <c r="B8" s="4"/>
      <c r="C8" t="s">
        <v>11</v>
      </c>
      <c r="D8" s="29">
        <v>173.68679375399199</v>
      </c>
      <c r="E8" s="29">
        <v>-6.0441748161398898E-2</v>
      </c>
      <c r="F8" s="29">
        <v>173.276119616827</v>
      </c>
      <c r="G8" s="29">
        <v>2.3047691852240301E-2</v>
      </c>
      <c r="H8" s="29">
        <v>0.44806819347398302</v>
      </c>
      <c r="J8" s="8">
        <v>173.924105070248</v>
      </c>
      <c r="K8" s="8">
        <v>-0.100786293424906</v>
      </c>
      <c r="L8" s="8">
        <v>173.276119616827</v>
      </c>
      <c r="M8" s="8">
        <v>1.9914243890284998E-3</v>
      </c>
      <c r="N8" s="8">
        <v>0.74678032245663895</v>
      </c>
      <c r="Q8" s="8">
        <v>173.76876224452201</v>
      </c>
      <c r="R8" s="8">
        <v>-7.4562339003626396E-2</v>
      </c>
      <c r="S8" s="8">
        <v>173.276119616827</v>
      </c>
      <c r="T8" s="8">
        <v>1.4587528080987899E-2</v>
      </c>
      <c r="U8" s="8">
        <v>0.55261743861791301</v>
      </c>
      <c r="X8" s="8">
        <v>173.77411074101701</v>
      </c>
      <c r="Y8" s="8">
        <v>-7.4562339003626396E-2</v>
      </c>
      <c r="Z8" s="8">
        <v>173.276119616827</v>
      </c>
      <c r="AA8" s="8">
        <v>1.9936024575759801E-2</v>
      </c>
      <c r="AB8" s="8">
        <v>0.55261743861791301</v>
      </c>
      <c r="AE8" s="8">
        <v>173.76555964170001</v>
      </c>
      <c r="AF8" s="8">
        <v>-7.4562339003626396E-2</v>
      </c>
      <c r="AG8" s="8">
        <v>173.276119616827</v>
      </c>
      <c r="AH8" s="8">
        <v>1.56779982401162E-2</v>
      </c>
      <c r="AI8" s="8">
        <v>0.54832436563669795</v>
      </c>
      <c r="AL8" s="8">
        <v>173.774145787663</v>
      </c>
      <c r="AM8" s="8">
        <v>-7.4562339003626396E-2</v>
      </c>
      <c r="AN8" s="8">
        <v>173.276119616827</v>
      </c>
      <c r="AO8" s="9">
        <v>1.56779982401162E-2</v>
      </c>
      <c r="AP8" s="8">
        <v>0.55691051159912797</v>
      </c>
      <c r="AR8">
        <v>126.823038229823</v>
      </c>
      <c r="AS8">
        <v>4.4719287527746803E-3</v>
      </c>
      <c r="AT8">
        <v>126.07085342710999</v>
      </c>
      <c r="AU8">
        <v>0.272369271732046</v>
      </c>
      <c r="AV8">
        <v>0.475343602228189</v>
      </c>
      <c r="AY8">
        <v>126.829543419901</v>
      </c>
      <c r="AZ8">
        <v>4.4719287527746803E-3</v>
      </c>
      <c r="BA8">
        <v>126.07085342710999</v>
      </c>
      <c r="BB8">
        <v>0.272369271732046</v>
      </c>
      <c r="BC8">
        <v>0.48184879230694599</v>
      </c>
      <c r="BF8">
        <v>126.850070533378</v>
      </c>
      <c r="BG8">
        <v>4.4719287527746803E-3</v>
      </c>
      <c r="BH8">
        <v>126.07085342710999</v>
      </c>
      <c r="BI8">
        <v>0.27236995857162999</v>
      </c>
      <c r="BJ8">
        <v>0.50237521894389303</v>
      </c>
      <c r="BN8" s="61" t="s">
        <v>90</v>
      </c>
      <c r="BO8" s="61">
        <v>126.816230954264</v>
      </c>
      <c r="BP8" s="61">
        <v>2.6406891111967401E-3</v>
      </c>
      <c r="BQ8" s="61">
        <v>126.07085342710999</v>
      </c>
      <c r="BR8" s="61">
        <v>0.26255294625094999</v>
      </c>
      <c r="BS8" s="61">
        <v>0.48018389179202697</v>
      </c>
      <c r="BV8" s="61"/>
      <c r="BW8" s="61"/>
      <c r="BX8" s="62">
        <v>4.1945077903782603E-6</v>
      </c>
      <c r="BY8" s="62">
        <v>3.2085470188151798E-6</v>
      </c>
      <c r="BZ8" s="61"/>
      <c r="CA8" s="61"/>
      <c r="CC8" s="63">
        <v>126.741997194322</v>
      </c>
      <c r="CD8" s="63">
        <v>4.4719287527746803E-3</v>
      </c>
      <c r="CE8" s="63">
        <v>126.07085342710999</v>
      </c>
      <c r="CF8" s="63">
        <v>0.254062551385275</v>
      </c>
      <c r="CG8" s="63">
        <v>0.41260928707460298</v>
      </c>
      <c r="CJ8" s="63" t="s">
        <v>90</v>
      </c>
      <c r="CK8" s="63">
        <v>126.80197158945499</v>
      </c>
      <c r="CL8" s="63">
        <v>4.4719287527746803E-3</v>
      </c>
      <c r="CM8" s="63">
        <v>126.044941179072</v>
      </c>
      <c r="CN8" s="63">
        <v>0.272369271732046</v>
      </c>
      <c r="CO8" s="63">
        <v>0.48018920989802</v>
      </c>
      <c r="CS8" s="63">
        <v>126.809657393181</v>
      </c>
      <c r="CT8" s="63">
        <v>4.4719287527746803E-3</v>
      </c>
      <c r="CU8" s="63">
        <v>126.07085342710999</v>
      </c>
      <c r="CV8" s="63">
        <v>0.26398094299087299</v>
      </c>
      <c r="CW8" s="63">
        <v>0.47035109432747302</v>
      </c>
      <c r="CZ8" s="63">
        <v>126.846111655356</v>
      </c>
      <c r="DA8" s="63">
        <v>4.4719287527746803E-3</v>
      </c>
      <c r="DB8" s="63">
        <v>126.07085342710999</v>
      </c>
      <c r="DC8" s="63">
        <v>0.28075897415238599</v>
      </c>
      <c r="DD8" s="63">
        <v>0.49002732534151899</v>
      </c>
      <c r="DG8" s="63">
        <v>126.826904486297</v>
      </c>
      <c r="DH8" s="63">
        <v>4.4719287527746803E-3</v>
      </c>
      <c r="DI8" s="63">
        <v>126.07085342710999</v>
      </c>
      <c r="DJ8" s="63">
        <v>0.27202516509725999</v>
      </c>
      <c r="DK8" s="63">
        <v>0.47955396533787298</v>
      </c>
      <c r="DN8" s="63">
        <v>126.82886318856001</v>
      </c>
      <c r="DO8" s="63">
        <v>4.4719287527746803E-3</v>
      </c>
      <c r="DP8" s="63">
        <v>126.07085342710999</v>
      </c>
      <c r="DQ8" s="63">
        <v>0.27271337836683202</v>
      </c>
      <c r="DR8" s="63">
        <v>0.48082445433111898</v>
      </c>
    </row>
    <row r="9" spans="1:122" x14ac:dyDescent="0.25">
      <c r="A9" s="4"/>
      <c r="B9" s="4"/>
      <c r="C9" t="s">
        <v>12</v>
      </c>
      <c r="D9" s="29">
        <v>700895378.35614097</v>
      </c>
      <c r="E9" s="29">
        <v>-249285.36131863901</v>
      </c>
      <c r="F9" s="29">
        <v>699871301.50364697</v>
      </c>
      <c r="G9" s="29">
        <v>126170.94679081401</v>
      </c>
      <c r="H9" s="29">
        <v>1147191.26702169</v>
      </c>
      <c r="J9" s="8">
        <v>701406441.54281902</v>
      </c>
      <c r="K9" s="8">
        <v>-415692.281687312</v>
      </c>
      <c r="L9" s="8">
        <v>699871301.50364697</v>
      </c>
      <c r="M9" s="8">
        <v>38846.8758229987</v>
      </c>
      <c r="N9" s="8">
        <v>1911985.44503615</v>
      </c>
      <c r="Q9" s="8">
        <v>701070461.60127294</v>
      </c>
      <c r="R9" s="8">
        <v>-307527.783447675</v>
      </c>
      <c r="S9" s="8">
        <v>699871301.50364697</v>
      </c>
      <c r="T9" s="8">
        <v>91818.651747664306</v>
      </c>
      <c r="U9" s="8">
        <v>1414869.2293267499</v>
      </c>
      <c r="X9" s="8">
        <v>701089045.10751402</v>
      </c>
      <c r="Y9" s="8">
        <v>-307527.783447675</v>
      </c>
      <c r="Z9" s="8">
        <v>699871301.50364697</v>
      </c>
      <c r="AA9" s="8">
        <v>110402.157988363</v>
      </c>
      <c r="AB9" s="8">
        <v>1414869.2293267499</v>
      </c>
      <c r="AE9" s="8">
        <v>701057063.44979203</v>
      </c>
      <c r="AF9" s="8">
        <v>-307527.783447675</v>
      </c>
      <c r="AG9" s="8">
        <v>699871301.50364697</v>
      </c>
      <c r="AH9" s="8">
        <v>95607.521952078605</v>
      </c>
      <c r="AI9" s="8">
        <v>1397682.20764066</v>
      </c>
      <c r="AL9" s="8">
        <v>701091437.49316394</v>
      </c>
      <c r="AM9" s="8">
        <v>-307527.783447675</v>
      </c>
      <c r="AN9" s="8">
        <v>699871301.50364697</v>
      </c>
      <c r="AO9" s="8">
        <v>95607.521952078605</v>
      </c>
      <c r="AP9" s="8">
        <v>1432056.2510128401</v>
      </c>
      <c r="AR9">
        <v>512719628.45707202</v>
      </c>
      <c r="AS9">
        <v>3445.7012042435499</v>
      </c>
      <c r="AT9">
        <v>509224408.21751398</v>
      </c>
      <c r="AU9">
        <v>1046013.8959410799</v>
      </c>
      <c r="AV9">
        <v>2445760.6424126802</v>
      </c>
      <c r="AY9">
        <v>512747864.66562301</v>
      </c>
      <c r="AZ9">
        <v>3445.7012042435499</v>
      </c>
      <c r="BA9">
        <v>509224408.21751398</v>
      </c>
      <c r="BB9">
        <v>1046013.8959410799</v>
      </c>
      <c r="BC9">
        <v>2473996.8509639101</v>
      </c>
      <c r="BF9">
        <v>512660033.133407</v>
      </c>
      <c r="BG9">
        <v>3445.7012042435499</v>
      </c>
      <c r="BH9">
        <v>509224408.21751398</v>
      </c>
      <c r="BI9">
        <v>1046013.91690946</v>
      </c>
      <c r="BJ9">
        <v>2386165.29777885</v>
      </c>
      <c r="BN9" s="61" t="s">
        <v>91</v>
      </c>
      <c r="BO9" s="61">
        <v>512778927.00228697</v>
      </c>
      <c r="BP9" s="61">
        <v>3443.46877946318</v>
      </c>
      <c r="BQ9" s="61">
        <v>509224408.21751398</v>
      </c>
      <c r="BR9" s="61">
        <v>1084304.0615012499</v>
      </c>
      <c r="BS9" s="61">
        <v>2466771.2544923602</v>
      </c>
      <c r="BV9" s="61"/>
      <c r="BW9" s="61"/>
      <c r="BX9" s="61">
        <v>8.1830750266618804E-2</v>
      </c>
      <c r="BY9" s="61">
        <v>3.5545796909212699</v>
      </c>
      <c r="BZ9" s="61"/>
      <c r="CA9" s="61"/>
      <c r="CC9" s="63">
        <v>512397051.92093301</v>
      </c>
      <c r="CD9" s="63">
        <v>3445.7012042435499</v>
      </c>
      <c r="CE9" s="63">
        <v>509224408.21751398</v>
      </c>
      <c r="CF9" s="63">
        <v>1047666.1807567599</v>
      </c>
      <c r="CG9" s="63">
        <v>2121531.8214583001</v>
      </c>
      <c r="CJ9" s="63" t="s">
        <v>91</v>
      </c>
      <c r="CK9" s="63">
        <v>512618356.69600898</v>
      </c>
      <c r="CL9" s="63">
        <v>3445.7012042435499</v>
      </c>
      <c r="CM9" s="63">
        <v>509102103.77530497</v>
      </c>
      <c r="CN9" s="63">
        <v>1046013.8959410799</v>
      </c>
      <c r="CO9" s="63">
        <v>2466793.3235590202</v>
      </c>
      <c r="CS9" s="63">
        <v>512674756.75492901</v>
      </c>
      <c r="CT9" s="63">
        <v>3445.7012042435499</v>
      </c>
      <c r="CU9" s="63">
        <v>509224408.21751398</v>
      </c>
      <c r="CV9" s="63">
        <v>1045850.25540893</v>
      </c>
      <c r="CW9" s="63">
        <v>2401052.5808016402</v>
      </c>
      <c r="CZ9" s="63">
        <v>512806565.56320399</v>
      </c>
      <c r="DA9" s="63">
        <v>3445.7012042435499</v>
      </c>
      <c r="DB9" s="63">
        <v>509224408.21751398</v>
      </c>
      <c r="DC9" s="63">
        <v>1046177.5784099899</v>
      </c>
      <c r="DD9" s="63">
        <v>2532534.06607601</v>
      </c>
      <c r="DG9" s="63">
        <v>512739448.73889399</v>
      </c>
      <c r="DH9" s="63">
        <v>3445.7012042435499</v>
      </c>
      <c r="DI9" s="63">
        <v>509224408.21751398</v>
      </c>
      <c r="DJ9" s="63">
        <v>1046003.3907807301</v>
      </c>
      <c r="DK9" s="63">
        <v>2465591.4293948198</v>
      </c>
      <c r="DN9" s="63">
        <v>512741873.53730202</v>
      </c>
      <c r="DO9" s="63">
        <v>3445.7012042435499</v>
      </c>
      <c r="DP9" s="63">
        <v>509224408.21751398</v>
      </c>
      <c r="DQ9" s="63">
        <v>1046024.4011014201</v>
      </c>
      <c r="DR9" s="63">
        <v>2467995.2174828299</v>
      </c>
    </row>
    <row r="10" spans="1:122" x14ac:dyDescent="0.25">
      <c r="A10" s="4"/>
      <c r="B10" s="4"/>
      <c r="C10" t="s">
        <v>13</v>
      </c>
      <c r="D10" s="30">
        <v>1.4528643536398099E-5</v>
      </c>
      <c r="E10" s="30">
        <v>-1.5525116034977599E-8</v>
      </c>
      <c r="F10" s="30">
        <v>1.42260858518593E-5</v>
      </c>
      <c r="G10" s="30">
        <v>1.33741783305908E-7</v>
      </c>
      <c r="H10" s="30">
        <v>1.8434101726788299E-7</v>
      </c>
      <c r="J10" s="9">
        <v>1.4636146955586101E-5</v>
      </c>
      <c r="K10" s="9">
        <v>-2.5885756181683699E-8</v>
      </c>
      <c r="L10" s="9">
        <v>1.42260858518593E-5</v>
      </c>
      <c r="M10" s="9">
        <v>1.2871183112868701E-7</v>
      </c>
      <c r="N10" s="9">
        <v>3.0723502877980601E-7</v>
      </c>
      <c r="Q10" s="9">
        <v>1.4565425801284901E-5</v>
      </c>
      <c r="R10" s="9">
        <v>-1.9151340086324701E-8</v>
      </c>
      <c r="S10" s="9">
        <v>1.42260858518593E-5</v>
      </c>
      <c r="T10" s="9">
        <v>1.3113736821493099E-7</v>
      </c>
      <c r="U10" s="9">
        <v>2.2735392129705601E-7</v>
      </c>
      <c r="X10" s="9">
        <v>1.45695650859698E-5</v>
      </c>
      <c r="Y10" s="9">
        <v>-1.9151340086324701E-8</v>
      </c>
      <c r="Z10" s="9">
        <v>1.42260858518593E-5</v>
      </c>
      <c r="AA10" s="9">
        <v>1.35276652899779E-7</v>
      </c>
      <c r="AB10" s="9">
        <v>2.2735392129705601E-7</v>
      </c>
      <c r="AE10" s="9">
        <v>1.4565766227067199E-5</v>
      </c>
      <c r="AF10" s="9">
        <v>-1.9151340086324701E-8</v>
      </c>
      <c r="AG10" s="9">
        <v>1.42260858518593E-5</v>
      </c>
      <c r="AH10" s="9">
        <v>1.3198130004388099E-7</v>
      </c>
      <c r="AI10" s="9">
        <v>2.26850415250367E-7</v>
      </c>
      <c r="AL10" s="9">
        <v>1.45667732391606E-5</v>
      </c>
      <c r="AM10" s="9">
        <v>-1.9151340086324701E-8</v>
      </c>
      <c r="AN10" s="9">
        <v>1.42260858518593E-5</v>
      </c>
      <c r="AO10" s="9">
        <v>1.3198130004388099E-7</v>
      </c>
      <c r="AP10" s="9">
        <v>2.2785742734374499E-7</v>
      </c>
      <c r="AR10" s="1">
        <v>1.1103076177055E-5</v>
      </c>
      <c r="AS10" s="1">
        <v>4.7685246479247003E-7</v>
      </c>
      <c r="AT10" s="1">
        <v>1.03545460559434E-5</v>
      </c>
      <c r="AU10" s="1">
        <v>2.17539877525027E-7</v>
      </c>
      <c r="AV10" s="1">
        <v>5.4137778794062703E-8</v>
      </c>
      <c r="AY10" s="1">
        <v>1.11045702935368E-5</v>
      </c>
      <c r="AZ10" s="1">
        <v>4.7685246479247003E-7</v>
      </c>
      <c r="BA10" s="1">
        <v>1.03545460559434E-5</v>
      </c>
      <c r="BB10" s="1">
        <v>2.17539877525027E-7</v>
      </c>
      <c r="BC10" s="1">
        <v>5.5631895275839E-8</v>
      </c>
      <c r="BF10" s="1">
        <v>1.11036739087003E-5</v>
      </c>
      <c r="BG10" s="1">
        <v>4.7685246479247003E-7</v>
      </c>
      <c r="BH10" s="1">
        <v>1.03545460559434E-5</v>
      </c>
      <c r="BI10" s="1">
        <v>2.1753988694826999E-7</v>
      </c>
      <c r="BJ10" s="1">
        <v>5.47355010160852E-8</v>
      </c>
      <c r="BN10" s="61" t="s">
        <v>92</v>
      </c>
      <c r="BO10" s="62">
        <v>1.06769226264806E-5</v>
      </c>
      <c r="BP10" s="62">
        <v>1.16092602509242E-7</v>
      </c>
      <c r="BQ10" s="62">
        <v>1.03545460559434E-5</v>
      </c>
      <c r="BR10" s="62">
        <v>1.5103403888796701E-7</v>
      </c>
      <c r="BS10" s="62">
        <v>5.52499291399664E-8</v>
      </c>
      <c r="BV10" s="61"/>
      <c r="BW10" s="61"/>
      <c r="BX10" s="62">
        <v>9.8841990621867402E-12</v>
      </c>
      <c r="BY10" s="62">
        <v>3.4917484474554598E-12</v>
      </c>
      <c r="BZ10" s="61"/>
      <c r="CA10" s="61"/>
      <c r="CC10" s="64">
        <v>1.10480683942786E-5</v>
      </c>
      <c r="CD10" s="64">
        <v>4.7685246479247003E-7</v>
      </c>
      <c r="CE10" s="64">
        <v>1.03545460559434E-5</v>
      </c>
      <c r="CF10" s="64">
        <v>1.68555520530679E-7</v>
      </c>
      <c r="CG10" s="64">
        <v>4.81143530120513E-8</v>
      </c>
      <c r="CJ10" s="63" t="s">
        <v>92</v>
      </c>
      <c r="CK10" s="64">
        <v>1.10980174291343E-5</v>
      </c>
      <c r="CL10" s="64">
        <v>4.7685246479247003E-7</v>
      </c>
      <c r="CM10" s="64">
        <v>1.03483743655574E-5</v>
      </c>
      <c r="CN10" s="64">
        <v>2.17539877525027E-7</v>
      </c>
      <c r="CO10" s="64">
        <v>5.5250721259396498E-8</v>
      </c>
      <c r="CS10" s="64">
        <v>1.10835302280217E-5</v>
      </c>
      <c r="CT10" s="64">
        <v>4.7685246479247003E-7</v>
      </c>
      <c r="CU10" s="64">
        <v>1.03545460559434E-5</v>
      </c>
      <c r="CV10" s="64">
        <v>1.9777148882389701E-7</v>
      </c>
      <c r="CW10" s="64">
        <v>5.4360218461946003E-8</v>
      </c>
      <c r="CZ10" s="64">
        <v>1.11248480298238E-5</v>
      </c>
      <c r="DA10" s="64">
        <v>4.7685246479247003E-7</v>
      </c>
      <c r="DB10" s="64">
        <v>1.03545460559434E-5</v>
      </c>
      <c r="DC10" s="64">
        <v>2.3730828507264401E-7</v>
      </c>
      <c r="DD10" s="64">
        <v>5.6141224015273101E-8</v>
      </c>
      <c r="DG10" s="64">
        <v>1.1103976529245E-5</v>
      </c>
      <c r="DH10" s="64">
        <v>4.7685246479247003E-7</v>
      </c>
      <c r="DI10" s="64">
        <v>1.03545460559434E-5</v>
      </c>
      <c r="DJ10" s="64">
        <v>2.1753515648029E-7</v>
      </c>
      <c r="DK10" s="64">
        <v>5.5042852028759102E-8</v>
      </c>
      <c r="DN10" s="64">
        <v>1.11044017097541E-5</v>
      </c>
      <c r="DO10" s="64">
        <v>4.7685246479247003E-7</v>
      </c>
      <c r="DP10" s="64">
        <v>1.03545460559434E-5</v>
      </c>
      <c r="DQ10" s="64">
        <v>2.17544598569764E-7</v>
      </c>
      <c r="DR10" s="64">
        <v>5.5458590448460001E-8</v>
      </c>
    </row>
    <row r="11" spans="1:122" x14ac:dyDescent="0.25">
      <c r="A11" s="4"/>
      <c r="B11" s="4"/>
      <c r="C11" t="s">
        <v>14</v>
      </c>
      <c r="D11" s="30">
        <v>1.36737454475686E-5</v>
      </c>
      <c r="E11" s="30">
        <v>-1.48919998655499E-8</v>
      </c>
      <c r="F11" s="30">
        <v>1.33922746046421E-5</v>
      </c>
      <c r="G11" s="30">
        <v>4.4947011102988498E-8</v>
      </c>
      <c r="H11" s="30">
        <v>2.5141583168903301E-7</v>
      </c>
      <c r="J11" s="9">
        <v>1.3826797596343001E-5</v>
      </c>
      <c r="K11" s="9">
        <v>-2.4831078136925901E-8</v>
      </c>
      <c r="L11" s="9">
        <v>1.33922746046421E-5</v>
      </c>
      <c r="M11" s="9">
        <v>4.0327683689458201E-8</v>
      </c>
      <c r="N11" s="9">
        <v>4.1902638614838898E-7</v>
      </c>
      <c r="Q11" s="9">
        <v>1.3726196351445799E-5</v>
      </c>
      <c r="R11" s="9">
        <v>-1.8370677260531501E-8</v>
      </c>
      <c r="S11" s="9">
        <v>1.33922746046421E-5</v>
      </c>
      <c r="T11" s="9">
        <v>4.2212898314424297E-8</v>
      </c>
      <c r="U11" s="9">
        <v>3.1007952574980802E-7</v>
      </c>
      <c r="X11" s="9">
        <v>1.3731676678301299E-5</v>
      </c>
      <c r="Y11" s="9">
        <v>-1.8370677260531501E-8</v>
      </c>
      <c r="Z11" s="9">
        <v>1.33922746046421E-5</v>
      </c>
      <c r="AA11" s="9">
        <v>4.7693225169869398E-8</v>
      </c>
      <c r="AB11" s="9">
        <v>3.1007952574980802E-7</v>
      </c>
      <c r="AE11" s="9">
        <v>1.37267834029594E-5</v>
      </c>
      <c r="AF11" s="9">
        <v>-1.8370677260531501E-8</v>
      </c>
      <c r="AG11" s="9">
        <v>1.33922746046421E-5</v>
      </c>
      <c r="AH11" s="9">
        <v>4.3330246508252899E-8</v>
      </c>
      <c r="AI11" s="9">
        <v>3.0954922906960602E-7</v>
      </c>
      <c r="AL11" s="9">
        <v>1.3727843996319801E-5</v>
      </c>
      <c r="AM11" s="9">
        <v>-1.8370677260531501E-8</v>
      </c>
      <c r="AN11" s="9">
        <v>1.33922746046421E-5</v>
      </c>
      <c r="AO11" s="9">
        <v>4.3330246508252899E-8</v>
      </c>
      <c r="AP11" s="9">
        <v>3.1060982243000902E-7</v>
      </c>
      <c r="AR11" s="1">
        <v>9.9580063914707303E-6</v>
      </c>
      <c r="AS11" s="1">
        <v>1.2412453655796999E-10</v>
      </c>
      <c r="AT11" s="1">
        <v>9.7484508724519704E-6</v>
      </c>
      <c r="AU11" s="1">
        <v>4.38308871664202E-8</v>
      </c>
      <c r="AV11" s="1">
        <v>1.65600507315779E-7</v>
      </c>
      <c r="AY11" s="1">
        <v>9.9593863584077394E-6</v>
      </c>
      <c r="AZ11" s="1">
        <v>1.2412453655796999E-10</v>
      </c>
      <c r="BA11" s="1">
        <v>9.7484508724519704E-6</v>
      </c>
      <c r="BB11" s="1">
        <v>4.38308871664202E-8</v>
      </c>
      <c r="BC11" s="1">
        <v>1.6698047425279E-7</v>
      </c>
      <c r="BF11" s="1">
        <v>9.8772560479419097E-6</v>
      </c>
      <c r="BG11" s="1">
        <v>1.2412453655796999E-10</v>
      </c>
      <c r="BH11" s="1">
        <v>9.7484508724519704E-6</v>
      </c>
      <c r="BI11" s="1">
        <v>4.3830953764151699E-8</v>
      </c>
      <c r="BJ11" s="1">
        <v>8.4850097189235502E-8</v>
      </c>
      <c r="BN11" s="61" t="s">
        <v>93</v>
      </c>
      <c r="BO11" s="62">
        <v>9.9639151672440794E-6</v>
      </c>
      <c r="BP11" s="62">
        <v>1.2396562659133801E-10</v>
      </c>
      <c r="BQ11" s="62">
        <v>9.7484508724519704E-6</v>
      </c>
      <c r="BR11" s="62">
        <v>4.8712863734311801E-8</v>
      </c>
      <c r="BS11" s="62">
        <v>1.66627465431212E-7</v>
      </c>
      <c r="BV11" s="61"/>
      <c r="BW11" s="61"/>
      <c r="BX11" s="62">
        <v>2.4813443014367999E-14</v>
      </c>
      <c r="BY11" s="62">
        <v>4.9274651426039999E-13</v>
      </c>
      <c r="BZ11" s="61"/>
      <c r="CA11" s="61"/>
      <c r="CC11" s="64">
        <v>9.9355914223452208E-6</v>
      </c>
      <c r="CD11" s="64">
        <v>1.2412453655796999E-10</v>
      </c>
      <c r="CE11" s="64">
        <v>9.7484508724519704E-6</v>
      </c>
      <c r="CF11" s="64">
        <v>4.3728876073231697E-8</v>
      </c>
      <c r="CG11" s="64">
        <v>1.43287549283458E-7</v>
      </c>
      <c r="CJ11" s="63" t="s">
        <v>93</v>
      </c>
      <c r="CK11" s="64">
        <v>9.9524247703788004E-6</v>
      </c>
      <c r="CL11" s="64">
        <v>1.2412453655796999E-10</v>
      </c>
      <c r="CM11" s="64">
        <v>9.7418413369881102E-6</v>
      </c>
      <c r="CN11" s="64">
        <v>4.38308871664202E-8</v>
      </c>
      <c r="CO11" s="64">
        <v>1.6662842168770999E-7</v>
      </c>
      <c r="CS11" s="64">
        <v>9.9566887969588205E-6</v>
      </c>
      <c r="CT11" s="64">
        <v>1.2412453655796999E-10</v>
      </c>
      <c r="CU11" s="64">
        <v>9.7484508724519704E-6</v>
      </c>
      <c r="CV11" s="64">
        <v>4.3781326878122999E-8</v>
      </c>
      <c r="CW11" s="64">
        <v>1.6433247309217001E-7</v>
      </c>
      <c r="CZ11" s="64">
        <v>9.9613799479066601E-6</v>
      </c>
      <c r="DA11" s="64">
        <v>1.2412453655796999E-10</v>
      </c>
      <c r="DB11" s="64">
        <v>9.7484508724519704E-6</v>
      </c>
      <c r="DC11" s="64">
        <v>4.3880580650180399E-8</v>
      </c>
      <c r="DD11" s="64">
        <v>1.68924370267957E-7</v>
      </c>
      <c r="DG11" s="64">
        <v>9.9589244750826598E-6</v>
      </c>
      <c r="DH11" s="64">
        <v>1.2412453655796999E-10</v>
      </c>
      <c r="DI11" s="64">
        <v>9.7484508724519704E-6</v>
      </c>
      <c r="DJ11" s="64">
        <v>4.37975217026226E-8</v>
      </c>
      <c r="DK11" s="64">
        <v>1.6655195639151601E-7</v>
      </c>
      <c r="DN11" s="64">
        <v>9.9591441365873607E-6</v>
      </c>
      <c r="DO11" s="64">
        <v>1.2412453655796999E-10</v>
      </c>
      <c r="DP11" s="64">
        <v>9.7484508724519704E-6</v>
      </c>
      <c r="DQ11" s="64">
        <v>4.38642526302179E-8</v>
      </c>
      <c r="DR11" s="64">
        <v>1.6670488696860999E-7</v>
      </c>
    </row>
    <row r="12" spans="1:122" x14ac:dyDescent="0.25">
      <c r="A12" s="4"/>
      <c r="B12" s="4"/>
      <c r="C12" t="s">
        <v>15</v>
      </c>
      <c r="D12" s="29">
        <v>1.00041825244622</v>
      </c>
      <c r="E12" s="29">
        <v>-8.8047042274587103E-4</v>
      </c>
      <c r="F12" s="29">
        <v>0.99040363367226103</v>
      </c>
      <c r="G12" s="29">
        <v>8.8200785271578901E-4</v>
      </c>
      <c r="H12" s="29">
        <v>1.0013081343984299E-2</v>
      </c>
      <c r="J12" s="8">
        <v>1.0062195861038099</v>
      </c>
      <c r="K12" s="8">
        <v>-1.46791611497872E-3</v>
      </c>
      <c r="L12" s="8">
        <v>0.99040363367226103</v>
      </c>
      <c r="M12" s="8">
        <v>5.9539963988609901E-4</v>
      </c>
      <c r="N12" s="8">
        <v>1.66884689066404E-2</v>
      </c>
      <c r="Q12" s="8">
        <v>1.0024029771452601</v>
      </c>
      <c r="R12" s="8">
        <v>-1.0860764150273699E-3</v>
      </c>
      <c r="S12" s="8">
        <v>0.99040363367226103</v>
      </c>
      <c r="T12" s="8">
        <v>7.3595289711311297E-4</v>
      </c>
      <c r="U12" s="8">
        <v>1.2349466990913899E-2</v>
      </c>
      <c r="X12" s="8">
        <v>1.0026273311621401</v>
      </c>
      <c r="Y12" s="8">
        <v>-1.0860764150273699E-3</v>
      </c>
      <c r="Z12" s="8">
        <v>0.99040363367226103</v>
      </c>
      <c r="AA12" s="8">
        <v>9.6030691399717695E-4</v>
      </c>
      <c r="AB12" s="8">
        <v>1.2349466990913899E-2</v>
      </c>
      <c r="AE12" s="8">
        <v>1.0024145047797599</v>
      </c>
      <c r="AF12" s="8">
        <v>-1.0860764150273699E-3</v>
      </c>
      <c r="AG12" s="8">
        <v>0.99040363367226103</v>
      </c>
      <c r="AH12" s="8">
        <v>7.8169497822539802E-4</v>
      </c>
      <c r="AI12" s="8">
        <v>1.2315252544301001E-2</v>
      </c>
      <c r="AL12" s="8">
        <v>1.0024829336729899</v>
      </c>
      <c r="AM12" s="8">
        <v>-1.0860764150273699E-3</v>
      </c>
      <c r="AN12" s="8">
        <v>0.99040363367226103</v>
      </c>
      <c r="AO12" s="9">
        <v>7.8169497822539802E-4</v>
      </c>
      <c r="AP12" s="8">
        <v>1.23836814375268E-2</v>
      </c>
      <c r="AR12">
        <v>0.73675514885711701</v>
      </c>
      <c r="AS12">
        <v>7.5756939240089497E-3</v>
      </c>
      <c r="AT12">
        <v>0.72079394109602801</v>
      </c>
      <c r="AU12">
        <v>3.9232494976339299E-3</v>
      </c>
      <c r="AV12">
        <v>4.4622643394465599E-3</v>
      </c>
      <c r="AY12">
        <v>0.73680317484254498</v>
      </c>
      <c r="AZ12">
        <v>7.5756939240089497E-3</v>
      </c>
      <c r="BA12">
        <v>0.72079394109602801</v>
      </c>
      <c r="BB12">
        <v>3.9232494976339299E-3</v>
      </c>
      <c r="BC12">
        <v>4.51029032487442E-3</v>
      </c>
      <c r="BF12">
        <v>0.73888632094579498</v>
      </c>
      <c r="BG12">
        <v>7.5756939240089497E-3</v>
      </c>
      <c r="BH12">
        <v>0.72079394109602801</v>
      </c>
      <c r="BI12">
        <v>3.92325199831829E-3</v>
      </c>
      <c r="BJ12">
        <v>6.5934339274400502E-3</v>
      </c>
      <c r="BN12" s="61" t="s">
        <v>94</v>
      </c>
      <c r="BO12" s="61">
        <v>0.73163248992683105</v>
      </c>
      <c r="BP12" s="61">
        <v>3.06110769198025E-3</v>
      </c>
      <c r="BQ12" s="61">
        <v>0.72079394109602801</v>
      </c>
      <c r="BR12" s="61">
        <v>3.2794930130116101E-3</v>
      </c>
      <c r="BS12" s="61">
        <v>4.4979481258114098E-3</v>
      </c>
      <c r="BV12" s="61"/>
      <c r="BW12" s="61"/>
      <c r="BX12" s="62">
        <v>1.9969071681540401E-7</v>
      </c>
      <c r="BY12" s="62">
        <v>1.37757572167597E-7</v>
      </c>
      <c r="BZ12" s="61"/>
      <c r="CA12" s="61"/>
      <c r="CC12" s="63">
        <v>0.73512779930328298</v>
      </c>
      <c r="CD12" s="63">
        <v>7.5756939240089497E-3</v>
      </c>
      <c r="CE12" s="63">
        <v>0.72079394109602801</v>
      </c>
      <c r="CF12" s="63">
        <v>2.9028349453853399E-3</v>
      </c>
      <c r="CG12" s="63">
        <v>3.8553293378606498E-3</v>
      </c>
      <c r="CJ12" s="63" t="s">
        <v>94</v>
      </c>
      <c r="CK12" s="63">
        <v>0.73643882904826197</v>
      </c>
      <c r="CL12" s="63">
        <v>7.5756939240089497E-3</v>
      </c>
      <c r="CM12" s="63">
        <v>0.72044184753106</v>
      </c>
      <c r="CN12" s="63">
        <v>3.9232494976339299E-3</v>
      </c>
      <c r="CO12" s="63">
        <v>4.4980380955586801E-3</v>
      </c>
      <c r="CS12" s="63">
        <v>0.73636386784957997</v>
      </c>
      <c r="CT12" s="63">
        <v>7.5756939240089497E-3</v>
      </c>
      <c r="CU12" s="63">
        <v>0.72079394109602801</v>
      </c>
      <c r="CV12" s="63">
        <v>3.5238705646874801E-3</v>
      </c>
      <c r="CW12" s="63">
        <v>4.4703622648560003E-3</v>
      </c>
      <c r="CZ12" s="63">
        <v>0.73721798237431102</v>
      </c>
      <c r="DA12" s="63">
        <v>7.5756939240089497E-3</v>
      </c>
      <c r="DB12" s="63">
        <v>0.72079394109602801</v>
      </c>
      <c r="DC12" s="63">
        <v>4.3226334319491E-3</v>
      </c>
      <c r="DD12" s="63">
        <v>4.5257139223250798E-3</v>
      </c>
      <c r="DG12" s="63">
        <v>0.73676998833058605</v>
      </c>
      <c r="DH12" s="63">
        <v>7.5756939240089497E-3</v>
      </c>
      <c r="DI12" s="63">
        <v>0.72079394109602801</v>
      </c>
      <c r="DJ12" s="63">
        <v>3.9219966547567996E-3</v>
      </c>
      <c r="DK12" s="63">
        <v>4.4783566557930797E-3</v>
      </c>
      <c r="DN12" s="63">
        <v>0.73681185689193596</v>
      </c>
      <c r="DO12" s="63">
        <v>7.5756939240089497E-3</v>
      </c>
      <c r="DP12" s="63">
        <v>0.72079394109602801</v>
      </c>
      <c r="DQ12" s="63">
        <v>3.9245023405110602E-3</v>
      </c>
      <c r="DR12" s="63">
        <v>4.5177195313880003E-3</v>
      </c>
    </row>
    <row r="13" spans="1:122" x14ac:dyDescent="0.25">
      <c r="A13" s="4"/>
      <c r="B13" s="4"/>
      <c r="C13" t="s">
        <v>16</v>
      </c>
      <c r="D13" s="29">
        <v>14407.314628524</v>
      </c>
      <c r="E13" s="29">
        <v>-40.964914639861703</v>
      </c>
      <c r="F13" s="29">
        <v>14049.5540313203</v>
      </c>
      <c r="G13" s="29">
        <v>13.949720570318499</v>
      </c>
      <c r="H13" s="29">
        <v>384.77579127322701</v>
      </c>
      <c r="J13" s="8">
        <v>14622.650913339899</v>
      </c>
      <c r="K13" s="8">
        <v>-68.382423000544804</v>
      </c>
      <c r="L13" s="8">
        <v>14049.5540313203</v>
      </c>
      <c r="M13" s="8">
        <v>0.18631956481811701</v>
      </c>
      <c r="N13" s="8">
        <v>641.29298545537802</v>
      </c>
      <c r="Q13" s="8">
        <v>14481.1252597928</v>
      </c>
      <c r="R13" s="8">
        <v>-50.561042566100802</v>
      </c>
      <c r="S13" s="8">
        <v>14049.5540313203</v>
      </c>
      <c r="T13" s="8">
        <v>7.57546180165936</v>
      </c>
      <c r="U13" s="8">
        <v>474.55680923697997</v>
      </c>
      <c r="X13" s="8">
        <v>14488.762309646299</v>
      </c>
      <c r="Y13" s="8">
        <v>-50.561042566100802</v>
      </c>
      <c r="Z13" s="8">
        <v>14049.5540313203</v>
      </c>
      <c r="AA13" s="8">
        <v>15.2125116551641</v>
      </c>
      <c r="AB13" s="8">
        <v>474.55680923697997</v>
      </c>
      <c r="AE13" s="8">
        <v>14480.4217223835</v>
      </c>
      <c r="AF13" s="8">
        <v>-50.561042566100802</v>
      </c>
      <c r="AG13" s="8">
        <v>14049.5540313203</v>
      </c>
      <c r="AH13" s="8">
        <v>9.1325302183933399</v>
      </c>
      <c r="AI13" s="8">
        <v>472.29620341090401</v>
      </c>
      <c r="AL13" s="8">
        <v>14484.9429340356</v>
      </c>
      <c r="AM13" s="8">
        <v>-50.561042566100802</v>
      </c>
      <c r="AN13" s="8">
        <v>14049.5540313203</v>
      </c>
      <c r="AO13" s="8">
        <v>9.1325302183933399</v>
      </c>
      <c r="AP13" s="8">
        <v>476.81741506305502</v>
      </c>
      <c r="AR13">
        <v>10688.8007938755</v>
      </c>
      <c r="AS13">
        <v>0.48994942806311997</v>
      </c>
      <c r="AT13">
        <v>10248.078093177601</v>
      </c>
      <c r="AU13">
        <v>60.447294391905601</v>
      </c>
      <c r="AV13">
        <v>379.78545687788102</v>
      </c>
      <c r="AY13">
        <v>10691.4807666008</v>
      </c>
      <c r="AZ13">
        <v>0.48994942806311997</v>
      </c>
      <c r="BA13">
        <v>10248.078093177601</v>
      </c>
      <c r="BB13">
        <v>60.447294391905601</v>
      </c>
      <c r="BC13">
        <v>382.46542960323001</v>
      </c>
      <c r="BF13">
        <v>10807.828788414499</v>
      </c>
      <c r="BG13">
        <v>0.48994942806311997</v>
      </c>
      <c r="BH13">
        <v>10248.078093177601</v>
      </c>
      <c r="BI13">
        <v>60.4472964991363</v>
      </c>
      <c r="BJ13">
        <v>498.813449309703</v>
      </c>
      <c r="BN13" s="61" t="s">
        <v>95</v>
      </c>
      <c r="BO13" s="61">
        <v>10713.979473773899</v>
      </c>
      <c r="BP13" s="61">
        <v>0.478100696118816</v>
      </c>
      <c r="BQ13" s="61">
        <v>10248.078093177601</v>
      </c>
      <c r="BR13" s="61">
        <v>83.644731153292497</v>
      </c>
      <c r="BS13" s="61">
        <v>381.77854874687199</v>
      </c>
      <c r="BV13" s="61"/>
      <c r="BW13" s="61"/>
      <c r="BX13" s="62">
        <v>1.3421971494646801E-5</v>
      </c>
      <c r="BY13" s="61">
        <v>2.2376581931615202E-3</v>
      </c>
      <c r="BZ13" s="61"/>
      <c r="CA13" s="61"/>
      <c r="CC13" s="63">
        <v>10634.3637354932</v>
      </c>
      <c r="CD13" s="63">
        <v>0.48994942806311997</v>
      </c>
      <c r="CE13" s="63">
        <v>10248.078093177601</v>
      </c>
      <c r="CF13" s="63">
        <v>60.426092537105703</v>
      </c>
      <c r="CG13" s="63">
        <v>325.36960035042802</v>
      </c>
      <c r="CJ13" s="63" t="s">
        <v>95</v>
      </c>
      <c r="CK13" s="63">
        <v>10662.6801221195</v>
      </c>
      <c r="CL13" s="63">
        <v>0.48994942806311997</v>
      </c>
      <c r="CM13" s="63">
        <v>10219.9611544048</v>
      </c>
      <c r="CN13" s="63">
        <v>60.447294391905601</v>
      </c>
      <c r="CO13" s="63">
        <v>381.78172389478198</v>
      </c>
      <c r="CS13" s="63">
        <v>10690.7620769809</v>
      </c>
      <c r="CT13" s="63">
        <v>0.48994942806311997</v>
      </c>
      <c r="CU13" s="63">
        <v>10248.078093177601</v>
      </c>
      <c r="CV13" s="63">
        <v>60.420452556146998</v>
      </c>
      <c r="CW13" s="63">
        <v>381.77358181905402</v>
      </c>
      <c r="CZ13" s="63">
        <v>10690.832048944299</v>
      </c>
      <c r="DA13" s="63">
        <v>0.48994942806311997</v>
      </c>
      <c r="DB13" s="63">
        <v>10248.078093177601</v>
      </c>
      <c r="DC13" s="63">
        <v>60.474140442125602</v>
      </c>
      <c r="DD13" s="63">
        <v>381.78986589647297</v>
      </c>
      <c r="DG13" s="63">
        <v>10690.4258222273</v>
      </c>
      <c r="DH13" s="63">
        <v>0.48994942806311997</v>
      </c>
      <c r="DI13" s="63">
        <v>10248.078093177601</v>
      </c>
      <c r="DJ13" s="63">
        <v>60.446238669316799</v>
      </c>
      <c r="DK13" s="63">
        <v>381.41154095231502</v>
      </c>
      <c r="DN13" s="63">
        <v>10691.168299483399</v>
      </c>
      <c r="DO13" s="63">
        <v>0.48994942806311997</v>
      </c>
      <c r="DP13" s="63">
        <v>10248.078093177601</v>
      </c>
      <c r="DQ13" s="63">
        <v>60.448350114494403</v>
      </c>
      <c r="DR13" s="63">
        <v>382.15190676321203</v>
      </c>
    </row>
    <row r="14" spans="1:122" x14ac:dyDescent="0.25">
      <c r="A14" s="4"/>
      <c r="B14" s="4"/>
      <c r="C14" t="s">
        <v>17</v>
      </c>
      <c r="D14" s="30">
        <v>5.1681538252608602E-8</v>
      </c>
      <c r="E14" s="30">
        <v>-4.7498898152573497E-11</v>
      </c>
      <c r="F14" s="30">
        <v>5.0758221269959298E-8</v>
      </c>
      <c r="G14" s="30">
        <v>4.0425857575947202E-10</v>
      </c>
      <c r="H14" s="30">
        <v>5.66557305042364E-10</v>
      </c>
      <c r="J14" s="9">
        <v>5.2012161107845503E-8</v>
      </c>
      <c r="K14" s="9">
        <v>-7.9193946837342504E-11</v>
      </c>
      <c r="L14" s="9">
        <v>5.0758221269959298E-8</v>
      </c>
      <c r="M14" s="9">
        <v>3.8887160965289398E-10</v>
      </c>
      <c r="N14" s="9">
        <v>9.4426217507060697E-10</v>
      </c>
      <c r="Q14" s="9">
        <v>5.1794673682975503E-8</v>
      </c>
      <c r="R14" s="9">
        <v>-5.8592165192242698E-11</v>
      </c>
      <c r="S14" s="9">
        <v>5.0758221269959298E-8</v>
      </c>
      <c r="T14" s="9">
        <v>3.9629056865612302E-10</v>
      </c>
      <c r="U14" s="9">
        <v>6.9875400955224896E-10</v>
      </c>
      <c r="X14" s="9">
        <v>5.1807340568856499E-8</v>
      </c>
      <c r="Y14" s="9">
        <v>-5.8592165192242698E-11</v>
      </c>
      <c r="Z14" s="9">
        <v>5.0758221269959298E-8</v>
      </c>
      <c r="AA14" s="9">
        <v>4.0895745453720898E-10</v>
      </c>
      <c r="AB14" s="9">
        <v>6.9875400955224896E-10</v>
      </c>
      <c r="AE14" s="9">
        <v>5.1795560604082697E-8</v>
      </c>
      <c r="AF14" s="9">
        <v>-5.8592165192242698E-11</v>
      </c>
      <c r="AG14" s="9">
        <v>5.0758221269959298E-8</v>
      </c>
      <c r="AH14" s="9">
        <v>3.9887313762216998E-10</v>
      </c>
      <c r="AI14" s="9">
        <v>6.9705836169348398E-10</v>
      </c>
      <c r="AL14" s="9">
        <v>5.1798951899800301E-8</v>
      </c>
      <c r="AM14" s="9">
        <v>-5.8592165192242698E-11</v>
      </c>
      <c r="AN14" s="9">
        <v>5.0758221269959298E-8</v>
      </c>
      <c r="AO14" s="9">
        <v>3.9887313762216998E-10</v>
      </c>
      <c r="AP14" s="9">
        <v>7.0044965741101498E-10</v>
      </c>
      <c r="AR14" s="1">
        <v>3.91759203513126E-8</v>
      </c>
      <c r="AS14" s="1">
        <v>1.43603837478078E-9</v>
      </c>
      <c r="AT14" s="1">
        <v>3.6940470328754401E-8</v>
      </c>
      <c r="AU14" s="1">
        <v>6.7335615314917798E-10</v>
      </c>
      <c r="AV14" s="1">
        <v>1.26055494628255E-10</v>
      </c>
      <c r="AY14" s="1">
        <v>3.9179985953234702E-8</v>
      </c>
      <c r="AZ14" s="1">
        <v>1.43603837478078E-9</v>
      </c>
      <c r="BA14" s="1">
        <v>3.6940470328754401E-8</v>
      </c>
      <c r="BB14" s="1">
        <v>6.7335615314917798E-10</v>
      </c>
      <c r="BC14" s="1">
        <v>1.30121096550323E-10</v>
      </c>
      <c r="BF14" s="1">
        <v>3.9235297798258698E-8</v>
      </c>
      <c r="BG14" s="1">
        <v>1.43603837478078E-9</v>
      </c>
      <c r="BH14" s="1">
        <v>3.6940470328754401E-8</v>
      </c>
      <c r="BI14" s="1">
        <v>6.7335618181627395E-10</v>
      </c>
      <c r="BJ14" s="1">
        <v>1.8543291290725501E-10</v>
      </c>
      <c r="BN14" s="61" t="s">
        <v>96</v>
      </c>
      <c r="BO14" s="62">
        <v>3.7827067693689401E-8</v>
      </c>
      <c r="BP14" s="62">
        <v>3.0250249885781501E-10</v>
      </c>
      <c r="BQ14" s="62">
        <v>3.6940470328754401E-8</v>
      </c>
      <c r="BR14" s="62">
        <v>4.5501411513961898E-10</v>
      </c>
      <c r="BS14" s="62">
        <v>1.29080750937614E-10</v>
      </c>
      <c r="BV14" s="61"/>
      <c r="BW14" s="61"/>
      <c r="BX14" s="62">
        <v>2.9898875321066197E-14</v>
      </c>
      <c r="BY14" s="62">
        <v>8.9069351460009608E-15</v>
      </c>
      <c r="BZ14" s="61"/>
      <c r="CA14" s="61"/>
      <c r="CC14" s="64">
        <v>3.9015443199224797E-8</v>
      </c>
      <c r="CD14" s="64">
        <v>1.43603837478078E-9</v>
      </c>
      <c r="CE14" s="64">
        <v>3.6940470328754401E-8</v>
      </c>
      <c r="CF14" s="64">
        <v>5.2736686530755103E-10</v>
      </c>
      <c r="CG14" s="64">
        <v>1.11567630382029E-10</v>
      </c>
      <c r="CJ14" s="63" t="s">
        <v>96</v>
      </c>
      <c r="CK14" s="64">
        <v>3.9161148599615599E-8</v>
      </c>
      <c r="CL14" s="64">
        <v>1.43603837478078E-9</v>
      </c>
      <c r="CM14" s="64">
        <v>3.69226701779457E-8</v>
      </c>
      <c r="CN14" s="64">
        <v>6.7335615314917798E-10</v>
      </c>
      <c r="CO14" s="64">
        <v>1.2908389373997199E-10</v>
      </c>
      <c r="CS14" s="64">
        <v>3.9117266810900703E-8</v>
      </c>
      <c r="CT14" s="64">
        <v>1.43603837478078E-9</v>
      </c>
      <c r="CU14" s="64">
        <v>3.6940470328754401E-8</v>
      </c>
      <c r="CV14" s="64">
        <v>6.1355843117414104E-10</v>
      </c>
      <c r="CW14" s="64">
        <v>1.2719967619138799E-10</v>
      </c>
      <c r="CZ14" s="64">
        <v>3.9240630747165898E-8</v>
      </c>
      <c r="DA14" s="64">
        <v>1.43603837478078E-9</v>
      </c>
      <c r="DB14" s="64">
        <v>3.6940470328754401E-8</v>
      </c>
      <c r="DC14" s="64">
        <v>7.3315393245840604E-10</v>
      </c>
      <c r="DD14" s="64">
        <v>1.3096811117225699E-10</v>
      </c>
      <c r="DG14" s="64">
        <v>3.9178352898758902E-8</v>
      </c>
      <c r="DH14" s="64">
        <v>1.43603837478078E-9</v>
      </c>
      <c r="DI14" s="64">
        <v>3.6940470328754401E-8</v>
      </c>
      <c r="DJ14" s="64">
        <v>6.7334179093400001E-10</v>
      </c>
      <c r="DK14" s="64">
        <v>1.2850240428969001E-10</v>
      </c>
      <c r="DN14" s="64">
        <v>3.9179544601973502E-8</v>
      </c>
      <c r="DO14" s="64">
        <v>1.43603837478078E-9</v>
      </c>
      <c r="DP14" s="64">
        <v>3.6940470328754401E-8</v>
      </c>
      <c r="DQ14" s="64">
        <v>6.7337051536435604E-10</v>
      </c>
      <c r="DR14" s="64">
        <v>1.2966538307395499E-10</v>
      </c>
    </row>
    <row r="15" spans="1:122" x14ac:dyDescent="0.25">
      <c r="A15" s="4"/>
      <c r="B15" s="4"/>
      <c r="C15" t="s">
        <v>18</v>
      </c>
      <c r="D15" s="29">
        <v>47409.051099195</v>
      </c>
      <c r="E15" s="29">
        <v>-643.88947697758204</v>
      </c>
      <c r="F15" s="29">
        <v>41198.6327216313</v>
      </c>
      <c r="G15" s="29">
        <v>2162.73242430648</v>
      </c>
      <c r="H15" s="29">
        <v>4691.5754302347796</v>
      </c>
      <c r="J15" s="8">
        <v>49876.821931878701</v>
      </c>
      <c r="K15" s="8">
        <v>-1073.41070364903</v>
      </c>
      <c r="L15" s="8">
        <v>41198.6327216313</v>
      </c>
      <c r="M15" s="8">
        <v>1932.3075301718</v>
      </c>
      <c r="N15" s="8">
        <v>7819.2923837246399</v>
      </c>
      <c r="Q15" s="8">
        <v>48270.5047876647</v>
      </c>
      <c r="R15" s="8">
        <v>-794.221906312589</v>
      </c>
      <c r="S15" s="8">
        <v>41198.6327216313</v>
      </c>
      <c r="T15" s="8">
        <v>2079.8176083898002</v>
      </c>
      <c r="U15" s="8">
        <v>5786.2763639562299</v>
      </c>
      <c r="X15" s="8">
        <v>48281.619483182003</v>
      </c>
      <c r="Y15" s="8">
        <v>-794.221906312589</v>
      </c>
      <c r="Z15" s="8">
        <v>41198.6327216313</v>
      </c>
      <c r="AA15" s="8">
        <v>2090.93230390705</v>
      </c>
      <c r="AB15" s="8">
        <v>5786.2763639562299</v>
      </c>
      <c r="AE15" s="8">
        <v>48269.369014350603</v>
      </c>
      <c r="AF15" s="8">
        <v>-794.221906312589</v>
      </c>
      <c r="AG15" s="8">
        <v>41198.6327216313</v>
      </c>
      <c r="AH15" s="8">
        <v>2082.0837113593402</v>
      </c>
      <c r="AI15" s="8">
        <v>5782.8744876725405</v>
      </c>
      <c r="AL15" s="8">
        <v>48276.172766918004</v>
      </c>
      <c r="AM15" s="8">
        <v>-794.221906312589</v>
      </c>
      <c r="AN15" s="8">
        <v>41198.6327216313</v>
      </c>
      <c r="AO15" s="8">
        <v>2082.0837113593402</v>
      </c>
      <c r="AP15" s="8">
        <v>5789.6782402399203</v>
      </c>
      <c r="AR15">
        <v>32133.953781179302</v>
      </c>
      <c r="AS15">
        <v>2.0341005300703401</v>
      </c>
      <c r="AT15">
        <v>29980.878239657799</v>
      </c>
      <c r="AU15">
        <v>1865.1812205687099</v>
      </c>
      <c r="AV15">
        <v>285.86022042272702</v>
      </c>
      <c r="AY15">
        <v>32152.111483409299</v>
      </c>
      <c r="AZ15">
        <v>2.0341005300703401</v>
      </c>
      <c r="BA15">
        <v>29980.878239657799</v>
      </c>
      <c r="BB15">
        <v>1865.1812205687099</v>
      </c>
      <c r="BC15">
        <v>304.01792265276799</v>
      </c>
      <c r="BF15">
        <v>32586.430342567699</v>
      </c>
      <c r="BG15">
        <v>2.0341005300703401</v>
      </c>
      <c r="BH15">
        <v>29980.878239657799</v>
      </c>
      <c r="BI15">
        <v>1865.1812541686299</v>
      </c>
      <c r="BJ15">
        <v>738.33674821120906</v>
      </c>
      <c r="BN15" s="61" t="s">
        <v>97</v>
      </c>
      <c r="BO15" s="61">
        <v>32192.2804149248</v>
      </c>
      <c r="BP15" s="61">
        <v>2.0287831214219501</v>
      </c>
      <c r="BQ15" s="61">
        <v>29980.878239657799</v>
      </c>
      <c r="BR15" s="61">
        <v>1909.99997582227</v>
      </c>
      <c r="BS15" s="61">
        <v>299.37341632328099</v>
      </c>
      <c r="BV15" s="61"/>
      <c r="BW15" s="61"/>
      <c r="BX15" s="61">
        <v>1.16734639651268E-4</v>
      </c>
      <c r="BY15" s="61">
        <v>4.4134956247969103E-3</v>
      </c>
      <c r="BZ15" s="61"/>
      <c r="CA15" s="61"/>
      <c r="CC15" s="63">
        <v>32107.028935707302</v>
      </c>
      <c r="CD15" s="63">
        <v>2.0341005300703401</v>
      </c>
      <c r="CE15" s="63">
        <v>29980.878239657799</v>
      </c>
      <c r="CF15" s="63">
        <v>1864.69715980001</v>
      </c>
      <c r="CG15" s="63">
        <v>259.41943571941999</v>
      </c>
      <c r="CJ15" s="63" t="s">
        <v>97</v>
      </c>
      <c r="CK15" s="63">
        <v>32135.4116714714</v>
      </c>
      <c r="CL15" s="63">
        <v>2.0341005300703401</v>
      </c>
      <c r="CM15" s="63">
        <v>29968.810760187102</v>
      </c>
      <c r="CN15" s="63">
        <v>1865.1812205687099</v>
      </c>
      <c r="CO15" s="63">
        <v>299.38559018551399</v>
      </c>
      <c r="CS15" s="63">
        <v>32145.618253659999</v>
      </c>
      <c r="CT15" s="63">
        <v>2.0341005300703401</v>
      </c>
      <c r="CU15" s="63">
        <v>29980.878239657799</v>
      </c>
      <c r="CV15" s="63">
        <v>1864.94778488933</v>
      </c>
      <c r="CW15" s="63">
        <v>297.758128582795</v>
      </c>
      <c r="CZ15" s="63">
        <v>32149.3401152322</v>
      </c>
      <c r="DA15" s="63">
        <v>2.0341005300703401</v>
      </c>
      <c r="DB15" s="63">
        <v>29980.878239657799</v>
      </c>
      <c r="DC15" s="63">
        <v>1865.4147234479301</v>
      </c>
      <c r="DD15" s="63">
        <v>301.01305159644301</v>
      </c>
      <c r="DG15" s="63">
        <v>32146.503369537699</v>
      </c>
      <c r="DH15" s="63">
        <v>2.0341005300703401</v>
      </c>
      <c r="DI15" s="63">
        <v>29980.878239657799</v>
      </c>
      <c r="DJ15" s="63">
        <v>1865.16438700609</v>
      </c>
      <c r="DK15" s="63">
        <v>298.42664234378202</v>
      </c>
      <c r="DN15" s="63">
        <v>32148.4549321546</v>
      </c>
      <c r="DO15" s="63">
        <v>2.0341005300703401</v>
      </c>
      <c r="DP15" s="63">
        <v>29980.878239657799</v>
      </c>
      <c r="DQ15" s="63">
        <v>1865.1980541313301</v>
      </c>
      <c r="DR15" s="63">
        <v>300.34453783545598</v>
      </c>
    </row>
    <row r="16" spans="1:122" x14ac:dyDescent="0.25">
      <c r="A16" s="4"/>
      <c r="B16" s="4"/>
      <c r="C16" t="s">
        <v>19</v>
      </c>
      <c r="D16" s="29">
        <v>0.11453856030338901</v>
      </c>
      <c r="E16" s="30">
        <v>-2.2244634877537101E-5</v>
      </c>
      <c r="F16" s="29">
        <v>0.11447373886462001</v>
      </c>
      <c r="G16" s="30">
        <v>2.3965171628132499E-6</v>
      </c>
      <c r="H16" s="30">
        <v>8.4669556484336204E-5</v>
      </c>
      <c r="J16" s="8">
        <v>0.114572276708042</v>
      </c>
      <c r="K16" s="9">
        <v>-3.7114093494737103E-5</v>
      </c>
      <c r="L16" s="8">
        <v>0.11447373886462001</v>
      </c>
      <c r="M16" s="9">
        <v>-5.4639905569112496E-6</v>
      </c>
      <c r="N16" s="8">
        <v>1.41115927473894E-4</v>
      </c>
      <c r="Q16" s="8">
        <v>0.114550108520117</v>
      </c>
      <c r="R16" s="9">
        <v>-2.7448945393557098E-5</v>
      </c>
      <c r="S16" s="8">
        <v>0.11447373886462001</v>
      </c>
      <c r="T16" s="9">
        <v>-6.0718543981886402E-7</v>
      </c>
      <c r="U16" s="8">
        <v>1.0442578633068101E-4</v>
      </c>
      <c r="X16" s="8">
        <v>0.11455134709463</v>
      </c>
      <c r="Y16" s="9">
        <v>-2.7448945393557098E-5</v>
      </c>
      <c r="Z16" s="8">
        <v>0.11447373886462001</v>
      </c>
      <c r="AA16" s="9">
        <v>6.3138907327825103E-7</v>
      </c>
      <c r="AB16" s="8">
        <v>1.0442578633068101E-4</v>
      </c>
      <c r="AE16" s="8">
        <v>0.114547771282922</v>
      </c>
      <c r="AF16" s="9">
        <v>-2.7448945393557098E-5</v>
      </c>
      <c r="AG16" s="8">
        <v>0.11447373886462001</v>
      </c>
      <c r="AH16" s="9">
        <v>-3.5466053909032402E-7</v>
      </c>
      <c r="AI16" s="8">
        <v>1.01836024234822E-4</v>
      </c>
      <c r="AL16" s="8">
        <v>0.114552950807114</v>
      </c>
      <c r="AM16" s="9">
        <v>-2.7448945393557098E-5</v>
      </c>
      <c r="AN16" s="8">
        <v>0.11447373886462001</v>
      </c>
      <c r="AO16" s="9">
        <v>-3.5466053909032402E-7</v>
      </c>
      <c r="AP16" s="8">
        <v>1.07015548426541E-4</v>
      </c>
      <c r="AR16">
        <v>8.3349704811299802E-2</v>
      </c>
      <c r="AS16" s="1">
        <v>-1.7320706204758299E-6</v>
      </c>
      <c r="AT16">
        <v>8.3271549766116906E-2</v>
      </c>
      <c r="AU16" s="1">
        <v>5.5935169715287599E-5</v>
      </c>
      <c r="AV16" s="1">
        <v>2.3951946088053099E-5</v>
      </c>
      <c r="AY16">
        <v>8.3353741553527205E-2</v>
      </c>
      <c r="AZ16" s="1">
        <v>-1.7320706204758299E-6</v>
      </c>
      <c r="BA16">
        <v>8.3271549766116906E-2</v>
      </c>
      <c r="BB16" s="1">
        <v>5.5935169715287599E-5</v>
      </c>
      <c r="BC16" s="1">
        <v>2.7988688315536401E-5</v>
      </c>
      <c r="BF16">
        <v>8.3375599551765794E-2</v>
      </c>
      <c r="BG16" s="1">
        <v>-1.7320706204758299E-6</v>
      </c>
      <c r="BH16">
        <v>8.3271549766116906E-2</v>
      </c>
      <c r="BI16" s="1">
        <v>5.59351713754943E-5</v>
      </c>
      <c r="BJ16" s="1">
        <v>4.9846684893857201E-5</v>
      </c>
      <c r="BN16" s="61" t="s">
        <v>98</v>
      </c>
      <c r="BO16" s="61">
        <v>8.3354671245046294E-2</v>
      </c>
      <c r="BP16" s="62">
        <v>-1.7322012043949499E-6</v>
      </c>
      <c r="BQ16" s="61">
        <v>8.3271549766116906E-2</v>
      </c>
      <c r="BR16" s="62">
        <v>5.7895446456437101E-5</v>
      </c>
      <c r="BS16" s="62">
        <v>2.6958233677315601E-5</v>
      </c>
      <c r="BV16" s="61"/>
      <c r="BW16" s="61"/>
      <c r="BX16" s="62">
        <v>4.2833761086100003E-12</v>
      </c>
      <c r="BY16" s="62">
        <v>1.80577335535E-10</v>
      </c>
      <c r="BZ16" s="61"/>
      <c r="CA16" s="61"/>
      <c r="CC16" s="63">
        <v>8.3350082192130803E-2</v>
      </c>
      <c r="CD16" s="64">
        <v>-1.7320706204758299E-6</v>
      </c>
      <c r="CE16" s="63">
        <v>8.3271549766116906E-2</v>
      </c>
      <c r="CF16" s="64">
        <v>5.6119705047191801E-5</v>
      </c>
      <c r="CG16" s="64">
        <v>2.4144791587151701E-5</v>
      </c>
      <c r="CJ16" s="63" t="s">
        <v>98</v>
      </c>
      <c r="CK16" s="63">
        <v>8.3351930669657001E-2</v>
      </c>
      <c r="CL16" s="64">
        <v>-1.7320706204758299E-6</v>
      </c>
      <c r="CM16" s="63">
        <v>8.32707687224679E-2</v>
      </c>
      <c r="CN16" s="64">
        <v>5.5935169715287599E-5</v>
      </c>
      <c r="CO16" s="64">
        <v>2.6958848094268301E-5</v>
      </c>
      <c r="CS16" s="63">
        <v>8.3352706075012495E-2</v>
      </c>
      <c r="CT16" s="64">
        <v>-1.7320706204758299E-6</v>
      </c>
      <c r="CU16" s="63">
        <v>8.3271549766116906E-2</v>
      </c>
      <c r="CV16" s="64">
        <v>5.5926604623277199E-5</v>
      </c>
      <c r="CW16" s="64">
        <v>2.69617748928128E-5</v>
      </c>
      <c r="CZ16" s="63">
        <v>8.3352717354819694E-2</v>
      </c>
      <c r="DA16" s="64">
        <v>-1.7320706204758299E-6</v>
      </c>
      <c r="DB16" s="63">
        <v>8.3271549766116906E-2</v>
      </c>
      <c r="DC16" s="64">
        <v>5.5943738127711598E-5</v>
      </c>
      <c r="DD16" s="64">
        <v>2.6955921195538001E-5</v>
      </c>
      <c r="DG16" s="63">
        <v>8.3352209952904294E-2</v>
      </c>
      <c r="DH16" s="64">
        <v>-1.7320706204758299E-6</v>
      </c>
      <c r="DI16" s="63">
        <v>8.3271549766116906E-2</v>
      </c>
      <c r="DJ16" s="64">
        <v>5.5934337951673899E-5</v>
      </c>
      <c r="DK16" s="64">
        <v>2.64579194562041E-5</v>
      </c>
      <c r="DN16" s="63">
        <v>8.3353213473607496E-2</v>
      </c>
      <c r="DO16" s="64">
        <v>-1.7320706204758299E-6</v>
      </c>
      <c r="DP16" s="63">
        <v>8.3271549766116906E-2</v>
      </c>
      <c r="DQ16" s="64">
        <v>5.5936001478901197E-5</v>
      </c>
      <c r="DR16" s="64">
        <v>2.7459776632146799E-5</v>
      </c>
    </row>
    <row r="17" spans="1:122" x14ac:dyDescent="0.25">
      <c r="A17" s="4"/>
      <c r="B17" s="4"/>
      <c r="C17" t="s">
        <v>20</v>
      </c>
      <c r="D17" s="29">
        <v>4.17253716265771E-2</v>
      </c>
      <c r="E17" s="30">
        <v>-1.11089934420811E-5</v>
      </c>
      <c r="F17" s="29">
        <v>4.16949701756043E-2</v>
      </c>
      <c r="G17" s="30">
        <v>1.7846526730524E-6</v>
      </c>
      <c r="H17" s="30">
        <v>3.9725791741856799E-5</v>
      </c>
      <c r="J17" s="8">
        <v>4.1740506738927499E-2</v>
      </c>
      <c r="K17" s="9">
        <v>-1.8529636860909601E-5</v>
      </c>
      <c r="L17" s="8">
        <v>4.16949701756043E-2</v>
      </c>
      <c r="M17" s="9">
        <v>-2.14345271896785E-6</v>
      </c>
      <c r="N17" s="9">
        <v>6.6209652903094696E-5</v>
      </c>
      <c r="Q17" s="8">
        <v>4.1730550808830397E-2</v>
      </c>
      <c r="R17" s="9">
        <v>-1.3706218638671099E-5</v>
      </c>
      <c r="S17" s="8">
        <v>4.16949701756043E-2</v>
      </c>
      <c r="T17" s="9">
        <v>2.9170871647548598E-7</v>
      </c>
      <c r="U17" s="9">
        <v>4.8995143148290003E-5</v>
      </c>
      <c r="X17" s="8">
        <v>4.1731130095884902E-2</v>
      </c>
      <c r="Y17" s="9">
        <v>-1.3706218638671099E-5</v>
      </c>
      <c r="Z17" s="8">
        <v>4.16949701756043E-2</v>
      </c>
      <c r="AA17" s="9">
        <v>8.7099577100369795E-7</v>
      </c>
      <c r="AB17" s="9">
        <v>4.8995143148290003E-5</v>
      </c>
      <c r="AE17" s="8">
        <v>4.1729755988728398E-2</v>
      </c>
      <c r="AF17" s="9">
        <v>-1.3706218638671099E-5</v>
      </c>
      <c r="AG17" s="8">
        <v>4.16949701756043E-2</v>
      </c>
      <c r="AH17" s="9">
        <v>4.0981578584531501E-7</v>
      </c>
      <c r="AI17" s="9">
        <v>4.8082215976942302E-5</v>
      </c>
      <c r="AL17" s="8">
        <v>4.1731581843071103E-2</v>
      </c>
      <c r="AM17" s="9">
        <v>-1.3706218638671099E-5</v>
      </c>
      <c r="AN17" s="8">
        <v>4.16949701756043E-2</v>
      </c>
      <c r="AO17" s="9">
        <v>4.0981578584531501E-7</v>
      </c>
      <c r="AP17" s="9">
        <v>4.9908070319637697E-5</v>
      </c>
      <c r="AR17">
        <v>3.0403546816471401E-2</v>
      </c>
      <c r="AS17" s="1">
        <v>2.4388748002601001E-7</v>
      </c>
      <c r="AT17">
        <v>3.0331140126645999E-2</v>
      </c>
      <c r="AU17" s="1">
        <v>4.5500173458369902E-5</v>
      </c>
      <c r="AV17" s="1">
        <v>2.6662628887010799E-5</v>
      </c>
      <c r="AY17">
        <v>3.0405491377976199E-2</v>
      </c>
      <c r="AZ17" s="1">
        <v>2.4388748002601001E-7</v>
      </c>
      <c r="BA17">
        <v>3.0331140126645999E-2</v>
      </c>
      <c r="BB17" s="1">
        <v>4.5500173458369902E-5</v>
      </c>
      <c r="BC17" s="1">
        <v>2.8607190391801899E-5</v>
      </c>
      <c r="BF17">
        <v>3.04487639869667E-2</v>
      </c>
      <c r="BG17" s="1">
        <v>2.4388748002601001E-7</v>
      </c>
      <c r="BH17">
        <v>3.0331140126645999E-2</v>
      </c>
      <c r="BI17" s="1">
        <v>4.5500174543015303E-5</v>
      </c>
      <c r="BJ17" s="1">
        <v>7.1879798297722503E-5</v>
      </c>
      <c r="BN17" s="61" t="s">
        <v>99</v>
      </c>
      <c r="BO17" s="61">
        <v>3.0406301924730799E-2</v>
      </c>
      <c r="BP17" s="62">
        <v>2.4378135074145702E-7</v>
      </c>
      <c r="BQ17" s="61">
        <v>3.0331140126645999E-2</v>
      </c>
      <c r="BR17" s="62">
        <v>4.68081026828604E-5</v>
      </c>
      <c r="BS17" s="62">
        <v>2.8109914051262398E-5</v>
      </c>
      <c r="BV17" s="61"/>
      <c r="BW17" s="61"/>
      <c r="BX17" s="62">
        <v>4.19997346458161E-12</v>
      </c>
      <c r="BY17" s="62">
        <v>1.1852984274029599E-10</v>
      </c>
      <c r="BZ17" s="61"/>
      <c r="CA17" s="61"/>
      <c r="CC17" s="63">
        <v>3.04013172658395E-2</v>
      </c>
      <c r="CD17" s="64">
        <v>2.4388748002601001E-7</v>
      </c>
      <c r="CE17" s="63">
        <v>3.0331140126645999E-2</v>
      </c>
      <c r="CF17" s="64">
        <v>4.5589870815259901E-5</v>
      </c>
      <c r="CG17" s="64">
        <v>2.4343380898269601E-5</v>
      </c>
      <c r="CJ17" s="63" t="s">
        <v>99</v>
      </c>
      <c r="CK17" s="63">
        <v>3.04037129331933E-2</v>
      </c>
      <c r="CL17" s="64">
        <v>2.4388748002601001E-7</v>
      </c>
      <c r="CM17" s="63">
        <v>3.03298577719123E-2</v>
      </c>
      <c r="CN17" s="64">
        <v>4.5500173458369902E-5</v>
      </c>
      <c r="CO17" s="64">
        <v>2.8111100342571301E-5</v>
      </c>
      <c r="CS17" s="63">
        <v>3.04049797291693E-2</v>
      </c>
      <c r="CT17" s="64">
        <v>2.4388748002601001E-7</v>
      </c>
      <c r="CU17" s="63">
        <v>3.0331140126645999E-2</v>
      </c>
      <c r="CV17" s="64">
        <v>4.54917745960861E-5</v>
      </c>
      <c r="CW17" s="64">
        <v>2.8103940447233599E-5</v>
      </c>
      <c r="CZ17" s="63">
        <v>3.04050108488443E-2</v>
      </c>
      <c r="DA17" s="64">
        <v>2.4388748002601001E-7</v>
      </c>
      <c r="DB17" s="63">
        <v>3.0331140126645999E-2</v>
      </c>
      <c r="DC17" s="64">
        <v>4.5508574489944499E-5</v>
      </c>
      <c r="DD17" s="64">
        <v>2.8118260228372099E-5</v>
      </c>
      <c r="DG17" s="63">
        <v>3.0404947060127301E-2</v>
      </c>
      <c r="DH17" s="64">
        <v>2.4388748002601001E-7</v>
      </c>
      <c r="DI17" s="63">
        <v>3.0331140126645999E-2</v>
      </c>
      <c r="DJ17" s="64">
        <v>4.5499630051036001E-5</v>
      </c>
      <c r="DK17" s="64">
        <v>2.80634159503023E-5</v>
      </c>
      <c r="DN17" s="63">
        <v>3.0405043515717E-2</v>
      </c>
      <c r="DO17" s="64">
        <v>2.4388748002601001E-7</v>
      </c>
      <c r="DP17" s="63">
        <v>3.0331140126645999E-2</v>
      </c>
      <c r="DQ17" s="64">
        <v>4.5500716865703898E-5</v>
      </c>
      <c r="DR17" s="64">
        <v>2.8158784725303401E-5</v>
      </c>
    </row>
    <row r="18" spans="1:122" x14ac:dyDescent="0.25">
      <c r="A18" s="4"/>
      <c r="B18" s="4"/>
      <c r="C18" t="s">
        <v>21</v>
      </c>
      <c r="D18" s="29">
        <v>134.86407488838901</v>
      </c>
      <c r="E18" s="29">
        <v>-1.4714578948337E-2</v>
      </c>
      <c r="F18" s="29">
        <v>134.74948445247199</v>
      </c>
      <c r="G18" s="29">
        <v>1.93843332625174E-2</v>
      </c>
      <c r="H18" s="29">
        <v>0.10992068160294299</v>
      </c>
      <c r="J18" s="8">
        <v>134.92255669723099</v>
      </c>
      <c r="K18" s="8">
        <v>-2.4547551087721099E-2</v>
      </c>
      <c r="L18" s="8">
        <v>134.74948445247199</v>
      </c>
      <c r="M18" s="8">
        <v>1.44186598418291E-2</v>
      </c>
      <c r="N18" s="8">
        <v>0.18320113600490401</v>
      </c>
      <c r="Q18" s="8">
        <v>134.88402930955601</v>
      </c>
      <c r="R18" s="8">
        <v>-1.8156119197121401E-2</v>
      </c>
      <c r="S18" s="8">
        <v>134.74948445247199</v>
      </c>
      <c r="T18" s="8">
        <v>1.71321356376458E-2</v>
      </c>
      <c r="U18" s="8">
        <v>0.13556884064362901</v>
      </c>
      <c r="X18" s="8">
        <v>134.88655139663001</v>
      </c>
      <c r="Y18" s="8">
        <v>-1.8156119197121401E-2</v>
      </c>
      <c r="Z18" s="8">
        <v>134.74948445247199</v>
      </c>
      <c r="AA18" s="8">
        <v>1.96542227112632E-2</v>
      </c>
      <c r="AB18" s="8">
        <v>0.13556884064362901</v>
      </c>
      <c r="AE18" s="8">
        <v>134.87952535826801</v>
      </c>
      <c r="AF18" s="8">
        <v>-1.8156119197121401E-2</v>
      </c>
      <c r="AG18" s="8">
        <v>134.74948445247199</v>
      </c>
      <c r="AH18" s="8">
        <v>1.7646347565276499E-2</v>
      </c>
      <c r="AI18" s="8">
        <v>0.13055067742712201</v>
      </c>
      <c r="AL18" s="8">
        <v>134.88956168470099</v>
      </c>
      <c r="AM18" s="8">
        <v>-1.8156119197121401E-2</v>
      </c>
      <c r="AN18" s="8">
        <v>134.74948445247199</v>
      </c>
      <c r="AO18" s="9">
        <v>1.7646347565276499E-2</v>
      </c>
      <c r="AP18" s="8">
        <v>0.14058700386013601</v>
      </c>
      <c r="AR18">
        <v>98.219426862665003</v>
      </c>
      <c r="AS18">
        <v>2.85200860758254E-4</v>
      </c>
      <c r="AT18">
        <v>98.027329200817604</v>
      </c>
      <c r="AU18">
        <v>3.4244987125053798E-2</v>
      </c>
      <c r="AV18">
        <v>0.157567473861595</v>
      </c>
      <c r="AY18">
        <v>98.221058099498805</v>
      </c>
      <c r="AZ18">
        <v>2.85200860758254E-4</v>
      </c>
      <c r="BA18">
        <v>98.027329200817604</v>
      </c>
      <c r="BB18">
        <v>3.4244987125053798E-2</v>
      </c>
      <c r="BC18">
        <v>0.15919871069538699</v>
      </c>
      <c r="BF18">
        <v>98.145140441056895</v>
      </c>
      <c r="BG18">
        <v>2.85200860758254E-4</v>
      </c>
      <c r="BH18">
        <v>98.027329200817604</v>
      </c>
      <c r="BI18">
        <v>3.4244995732460599E-2</v>
      </c>
      <c r="BJ18">
        <v>8.3281043646097896E-2</v>
      </c>
      <c r="BN18" s="61" t="s">
        <v>100</v>
      </c>
      <c r="BO18" s="61">
        <v>98.223228120237394</v>
      </c>
      <c r="BP18" s="61">
        <v>2.8482300747116601E-4</v>
      </c>
      <c r="BQ18" s="61">
        <v>98.027329200817604</v>
      </c>
      <c r="BR18" s="61">
        <v>3.6832323601405703E-2</v>
      </c>
      <c r="BS18" s="61">
        <v>0.15878177281092301</v>
      </c>
      <c r="BV18" s="61"/>
      <c r="BW18" s="61"/>
      <c r="BX18" s="62">
        <v>2.769814691462E-8</v>
      </c>
      <c r="BY18" s="62">
        <v>2.7416657349073201E-7</v>
      </c>
      <c r="BZ18" s="61"/>
      <c r="CA18" s="61"/>
      <c r="CC18" s="63">
        <v>98.197615708535906</v>
      </c>
      <c r="CD18" s="63">
        <v>2.85200860758254E-4</v>
      </c>
      <c r="CE18" s="63">
        <v>98.027329200817604</v>
      </c>
      <c r="CF18" s="63">
        <v>3.41333993295646E-2</v>
      </c>
      <c r="CG18" s="63">
        <v>0.135867907527981</v>
      </c>
      <c r="CJ18" s="63" t="s">
        <v>100</v>
      </c>
      <c r="CK18" s="63">
        <v>98.213114197908297</v>
      </c>
      <c r="CL18" s="63">
        <v>2.85200860758254E-4</v>
      </c>
      <c r="CM18" s="63">
        <v>98.0198014549307</v>
      </c>
      <c r="CN18" s="63">
        <v>3.4244987125053798E-2</v>
      </c>
      <c r="CO18" s="63">
        <v>0.15878255499180599</v>
      </c>
      <c r="CS18" s="63">
        <v>98.218891947838102</v>
      </c>
      <c r="CT18" s="63">
        <v>2.85200860758254E-4</v>
      </c>
      <c r="CU18" s="63">
        <v>98.027329200817604</v>
      </c>
      <c r="CV18" s="63">
        <v>3.4189599438631403E-2</v>
      </c>
      <c r="CW18" s="63">
        <v>0.15708794672105</v>
      </c>
      <c r="CZ18" s="63">
        <v>98.222391956944307</v>
      </c>
      <c r="DA18" s="63">
        <v>2.85200860758254E-4</v>
      </c>
      <c r="DB18" s="63">
        <v>98.027329200817604</v>
      </c>
      <c r="DC18" s="63">
        <v>3.43003920262899E-2</v>
      </c>
      <c r="DD18" s="63">
        <v>0.160477163239646</v>
      </c>
      <c r="DG18" s="63">
        <v>98.220523048476394</v>
      </c>
      <c r="DH18" s="63">
        <v>2.85200860758254E-4</v>
      </c>
      <c r="DI18" s="63">
        <v>98.027329200817604</v>
      </c>
      <c r="DJ18" s="63">
        <v>3.4240674814198999E-2</v>
      </c>
      <c r="DK18" s="63">
        <v>0.15866797198381</v>
      </c>
      <c r="DN18" s="63">
        <v>98.220760839091199</v>
      </c>
      <c r="DO18" s="63">
        <v>2.85200860758254E-4</v>
      </c>
      <c r="DP18" s="63">
        <v>98.027329200817604</v>
      </c>
      <c r="DQ18" s="63">
        <v>3.4249299435908702E-2</v>
      </c>
      <c r="DR18" s="63">
        <v>0.15889713797688501</v>
      </c>
    </row>
    <row r="19" spans="1:122" x14ac:dyDescent="0.25">
      <c r="A19" s="4"/>
      <c r="B19" s="4"/>
      <c r="C19" t="s">
        <v>22</v>
      </c>
      <c r="D19" s="29">
        <v>6.0832504443014399E-2</v>
      </c>
      <c r="E19" s="30">
        <v>-3.5895394772878498E-6</v>
      </c>
      <c r="F19" s="29">
        <v>6.0810394470836401E-2</v>
      </c>
      <c r="G19" s="30">
        <v>1.93381668420494E-6</v>
      </c>
      <c r="H19" s="30">
        <v>2.37656949710726E-5</v>
      </c>
      <c r="J19" s="8">
        <v>6.0844690708280899E-2</v>
      </c>
      <c r="K19" s="9">
        <v>-5.9940541000636798E-6</v>
      </c>
      <c r="L19" s="8">
        <v>6.0810394470836401E-2</v>
      </c>
      <c r="M19" s="9">
        <v>6.8079992604233995E-7</v>
      </c>
      <c r="N19" s="9">
        <v>3.9609491618454299E-5</v>
      </c>
      <c r="Q19" s="8">
        <v>6.0836701766195503E-2</v>
      </c>
      <c r="R19" s="9">
        <v>-4.4311195952593901E-6</v>
      </c>
      <c r="S19" s="8">
        <v>6.0810394470836401E-2</v>
      </c>
      <c r="T19" s="9">
        <v>1.4273911566712101E-6</v>
      </c>
      <c r="U19" s="9">
        <v>2.9311023797656199E-5</v>
      </c>
      <c r="X19" s="8">
        <v>6.0837034650729101E-2</v>
      </c>
      <c r="Y19" s="9">
        <v>-4.4311195952593901E-6</v>
      </c>
      <c r="Z19" s="8">
        <v>6.0810394470836401E-2</v>
      </c>
      <c r="AA19" s="9">
        <v>1.76027569020513E-6</v>
      </c>
      <c r="AB19" s="9">
        <v>2.9311023797656199E-5</v>
      </c>
      <c r="AE19" s="8">
        <v>6.0835038839591203E-2</v>
      </c>
      <c r="AF19" s="9">
        <v>-4.4311195952593901E-6</v>
      </c>
      <c r="AG19" s="8">
        <v>6.0810394470836401E-2</v>
      </c>
      <c r="AH19" s="9">
        <v>1.49526081884803E-6</v>
      </c>
      <c r="AI19" s="9">
        <v>2.7580227531185801E-5</v>
      </c>
      <c r="AL19" s="8">
        <v>6.0838500432124201E-2</v>
      </c>
      <c r="AM19" s="9">
        <v>-4.4311195952593901E-6</v>
      </c>
      <c r="AN19" s="8">
        <v>6.0810394470836401E-2</v>
      </c>
      <c r="AO19" s="9">
        <v>1.49526081884803E-6</v>
      </c>
      <c r="AP19" s="9">
        <v>3.1041820064126601E-5</v>
      </c>
      <c r="AR19">
        <v>4.4295459512171599E-2</v>
      </c>
      <c r="AS19" s="1">
        <v>1.6225142348880399E-7</v>
      </c>
      <c r="AT19">
        <v>4.4237084013616902E-2</v>
      </c>
      <c r="AU19" s="1">
        <v>1.3237230202352E-5</v>
      </c>
      <c r="AV19" s="1">
        <v>4.4976016928799499E-5</v>
      </c>
      <c r="AY19">
        <v>4.4296118303126297E-2</v>
      </c>
      <c r="AZ19" s="1">
        <v>1.6225142348880399E-7</v>
      </c>
      <c r="BA19">
        <v>4.4237084013616902E-2</v>
      </c>
      <c r="BB19" s="1">
        <v>1.3237230202352E-5</v>
      </c>
      <c r="BC19" s="1">
        <v>4.5634807883481302E-5</v>
      </c>
      <c r="BF19">
        <v>4.4277410252314901E-2</v>
      </c>
      <c r="BG19" s="1">
        <v>1.6225142348880399E-7</v>
      </c>
      <c r="BH19">
        <v>4.4237084013616902E-2</v>
      </c>
      <c r="BI19" s="1">
        <v>1.3237235206467799E-5</v>
      </c>
      <c r="BJ19" s="1">
        <v>2.69267520679814E-5</v>
      </c>
      <c r="BN19" s="61" t="s">
        <v>101</v>
      </c>
      <c r="BO19" s="61">
        <v>4.4296558636383598E-2</v>
      </c>
      <c r="BP19" s="62">
        <v>1.45905369333603E-7</v>
      </c>
      <c r="BQ19" s="61">
        <v>4.4237084013616902E-2</v>
      </c>
      <c r="BR19" s="62">
        <v>1.3862198406781E-5</v>
      </c>
      <c r="BS19" s="62">
        <v>4.5466518990548299E-5</v>
      </c>
      <c r="BV19" s="61"/>
      <c r="BW19" s="61"/>
      <c r="BX19" s="62">
        <v>1.5792131331107501E-11</v>
      </c>
      <c r="BY19" s="62">
        <v>7.4854957221332197E-11</v>
      </c>
      <c r="BZ19" s="61"/>
      <c r="CA19" s="61"/>
      <c r="CC19" s="63">
        <v>4.4289372837820501E-2</v>
      </c>
      <c r="CD19" s="64">
        <v>1.6225142348880399E-7</v>
      </c>
      <c r="CE19" s="63">
        <v>4.4237084013616902E-2</v>
      </c>
      <c r="CF19" s="64">
        <v>1.3171647232001301E-5</v>
      </c>
      <c r="CG19" s="64">
        <v>3.8954925548076901E-5</v>
      </c>
      <c r="CJ19" s="63" t="s">
        <v>101</v>
      </c>
      <c r="CK19" s="63">
        <v>4.4293712956343101E-2</v>
      </c>
      <c r="CL19" s="64">
        <v>1.6225142348880399E-7</v>
      </c>
      <c r="CM19" s="63">
        <v>4.4234846735386101E-2</v>
      </c>
      <c r="CN19" s="64">
        <v>1.3237230202352E-5</v>
      </c>
      <c r="CO19" s="64">
        <v>4.54667393310927E-5</v>
      </c>
      <c r="CS19" s="63">
        <v>4.4295403386047198E-2</v>
      </c>
      <c r="CT19" s="64">
        <v>1.6225142348880399E-7</v>
      </c>
      <c r="CU19" s="63">
        <v>4.4237084013616902E-2</v>
      </c>
      <c r="CV19" s="64">
        <v>1.32056509438056E-5</v>
      </c>
      <c r="CW19" s="64">
        <v>4.4951470062992698E-5</v>
      </c>
      <c r="CZ19" s="63">
        <v>4.4296497093101697E-2</v>
      </c>
      <c r="DA19" s="64">
        <v>1.6225142348880399E-7</v>
      </c>
      <c r="DB19" s="63">
        <v>4.4237084013616902E-2</v>
      </c>
      <c r="DC19" s="64">
        <v>1.326881946913E-5</v>
      </c>
      <c r="DD19" s="64">
        <v>4.5982008592132303E-5</v>
      </c>
      <c r="DG19" s="63">
        <v>4.4295912425370502E-2</v>
      </c>
      <c r="DH19" s="64">
        <v>1.6225142348880399E-7</v>
      </c>
      <c r="DI19" s="63">
        <v>4.4237084013616902E-2</v>
      </c>
      <c r="DJ19" s="64">
        <v>1.3234723140291601E-5</v>
      </c>
      <c r="DK19" s="64">
        <v>4.5431437189762202E-5</v>
      </c>
      <c r="DN19" s="63">
        <v>4.4295988043770197E-2</v>
      </c>
      <c r="DO19" s="64">
        <v>1.6225142348880399E-7</v>
      </c>
      <c r="DP19" s="63">
        <v>4.4237084013616902E-2</v>
      </c>
      <c r="DQ19" s="64">
        <v>1.3239737264412399E-5</v>
      </c>
      <c r="DR19" s="64">
        <v>4.5502041465362799E-5</v>
      </c>
    </row>
    <row r="20" spans="1:122" x14ac:dyDescent="0.25">
      <c r="A20" s="4"/>
      <c r="B20" s="4"/>
      <c r="C20" t="s">
        <v>23</v>
      </c>
      <c r="D20" s="29">
        <v>6.0111317732354898E-3</v>
      </c>
      <c r="E20" s="30">
        <v>-9.8679521466276307E-7</v>
      </c>
      <c r="F20" s="29">
        <v>6.0058501774651503E-3</v>
      </c>
      <c r="G20" s="30">
        <v>1.91860204047415E-7</v>
      </c>
      <c r="H20" s="30">
        <v>6.07653078095559E-6</v>
      </c>
      <c r="J20" s="8">
        <v>6.0141802706865297E-3</v>
      </c>
      <c r="K20" s="9">
        <v>-1.6458176130484601E-6</v>
      </c>
      <c r="L20" s="8">
        <v>6.0058501774651503E-3</v>
      </c>
      <c r="M20" s="9">
        <v>-1.51640467160403E-7</v>
      </c>
      <c r="N20" s="9">
        <v>1.01275513015927E-5</v>
      </c>
      <c r="Q20" s="8">
        <v>6.01218026158107E-3</v>
      </c>
      <c r="R20" s="9">
        <v>-1.21745305409776E-6</v>
      </c>
      <c r="S20" s="8">
        <v>6.0058501774651503E-3</v>
      </c>
      <c r="T20" s="9">
        <v>5.3149206843535199E-8</v>
      </c>
      <c r="U20" s="9">
        <v>7.4943879631785599E-6</v>
      </c>
      <c r="X20" s="8">
        <v>6.01227092984369E-3</v>
      </c>
      <c r="Y20" s="9">
        <v>-1.21745305409776E-6</v>
      </c>
      <c r="Z20" s="8">
        <v>6.0058501774651503E-3</v>
      </c>
      <c r="AA20" s="9">
        <v>1.43817469460573E-7</v>
      </c>
      <c r="AB20" s="9">
        <v>7.4943879631785599E-6</v>
      </c>
      <c r="AE20" s="8">
        <v>6.0118384031170998E-3</v>
      </c>
      <c r="AF20" s="9">
        <v>-1.21745305409776E-6</v>
      </c>
      <c r="AG20" s="8">
        <v>6.0058501774651503E-3</v>
      </c>
      <c r="AH20" s="9">
        <v>7.1634969124678802E-8</v>
      </c>
      <c r="AI20" s="9">
        <v>7.1340437369294298E-6</v>
      </c>
      <c r="AL20" s="8">
        <v>6.0125590915695998E-3</v>
      </c>
      <c r="AM20" s="9">
        <v>-1.21745305409776E-6</v>
      </c>
      <c r="AN20" s="8">
        <v>6.0058501774651503E-3</v>
      </c>
      <c r="AO20" s="9">
        <v>7.1634969124678802E-8</v>
      </c>
      <c r="AP20" s="9">
        <v>7.8547321894276993E-6</v>
      </c>
      <c r="AR20">
        <v>4.3786861684809598E-3</v>
      </c>
      <c r="AS20" s="1">
        <v>1.32883468390128E-8</v>
      </c>
      <c r="AT20">
        <v>4.3692073716595503E-3</v>
      </c>
      <c r="AU20" s="1">
        <v>1.4841874619662201E-6</v>
      </c>
      <c r="AV20" s="1">
        <v>7.9813210126010094E-6</v>
      </c>
      <c r="AY20">
        <v>4.3787670987395898E-3</v>
      </c>
      <c r="AZ20" s="1">
        <v>1.32883468390128E-8</v>
      </c>
      <c r="BA20">
        <v>4.3692073716595503E-3</v>
      </c>
      <c r="BB20" s="1">
        <v>1.4841874619662201E-6</v>
      </c>
      <c r="BC20" s="1">
        <v>8.0622512712388894E-6</v>
      </c>
      <c r="BF20">
        <v>4.3764647430405198E-3</v>
      </c>
      <c r="BG20" s="1">
        <v>1.32883468390128E-8</v>
      </c>
      <c r="BH20">
        <v>4.3692073716595503E-3</v>
      </c>
      <c r="BI20" s="1">
        <v>1.4841879283220601E-6</v>
      </c>
      <c r="BJ20" s="1">
        <v>5.7598951058064999E-6</v>
      </c>
      <c r="BN20" s="61" t="s">
        <v>102</v>
      </c>
      <c r="BO20" s="61">
        <v>4.3789048984546296E-3</v>
      </c>
      <c r="BP20" s="62">
        <v>1.3406190632623499E-8</v>
      </c>
      <c r="BQ20" s="61">
        <v>4.3692073716595503E-3</v>
      </c>
      <c r="BR20" s="62">
        <v>1.6425664220745401E-6</v>
      </c>
      <c r="BS20" s="62">
        <v>8.0415541823721298E-6</v>
      </c>
      <c r="BV20" s="61"/>
      <c r="BW20" s="61"/>
      <c r="BX20" s="62">
        <v>1.51206280668001E-12</v>
      </c>
      <c r="BY20" s="62">
        <v>1.6583673096892101E-11</v>
      </c>
      <c r="BZ20" s="61"/>
      <c r="CA20" s="61"/>
      <c r="CC20" s="63">
        <v>4.3775894077600899E-3</v>
      </c>
      <c r="CD20" s="64">
        <v>1.32883468390128E-8</v>
      </c>
      <c r="CE20" s="63">
        <v>4.3692073716595503E-3</v>
      </c>
      <c r="CF20" s="64">
        <v>1.4784966894040801E-6</v>
      </c>
      <c r="CG20" s="64">
        <v>6.8902510642965999E-6</v>
      </c>
      <c r="CJ20" s="63" t="s">
        <v>102</v>
      </c>
      <c r="CK20" s="63">
        <v>4.3783293904944903E-3</v>
      </c>
      <c r="CL20" s="64">
        <v>1.32883468390128E-8</v>
      </c>
      <c r="CM20" s="63">
        <v>4.3687903100722604E-3</v>
      </c>
      <c r="CN20" s="64">
        <v>1.4841874619662201E-6</v>
      </c>
      <c r="CO20" s="64">
        <v>8.0416046134227193E-6</v>
      </c>
      <c r="CS20" s="63">
        <v>4.37862368867371E-3</v>
      </c>
      <c r="CT20" s="64">
        <v>1.32883468390128E-8</v>
      </c>
      <c r="CU20" s="63">
        <v>4.3692073716595503E-3</v>
      </c>
      <c r="CV20" s="64">
        <v>1.4811638027087001E-6</v>
      </c>
      <c r="CW20" s="64">
        <v>7.9218648646091801E-6</v>
      </c>
      <c r="CZ20" s="63">
        <v>4.3788692164214698E-3</v>
      </c>
      <c r="DA20" s="64">
        <v>1.32883468390128E-8</v>
      </c>
      <c r="DB20" s="63">
        <v>4.3692073716595503E-3</v>
      </c>
      <c r="DC20" s="64">
        <v>1.4872120539354199E-6</v>
      </c>
      <c r="DD20" s="64">
        <v>8.1613443611489308E-6</v>
      </c>
      <c r="DG20" s="63">
        <v>4.37874078178444E-3</v>
      </c>
      <c r="DH20" s="64">
        <v>1.32883468390128E-8</v>
      </c>
      <c r="DI20" s="63">
        <v>4.3692073716595503E-3</v>
      </c>
      <c r="DJ20" s="64">
        <v>1.4839538176901999E-6</v>
      </c>
      <c r="DK20" s="64">
        <v>8.0361679603568101E-6</v>
      </c>
      <c r="DN20" s="63">
        <v>4.3787521223780301E-3</v>
      </c>
      <c r="DO20" s="64">
        <v>1.32883468390128E-8</v>
      </c>
      <c r="DP20" s="63">
        <v>4.3692073716595503E-3</v>
      </c>
      <c r="DQ20" s="64">
        <v>1.48442110624224E-6</v>
      </c>
      <c r="DR20" s="64">
        <v>8.0470412654013008E-6</v>
      </c>
    </row>
    <row r="21" spans="1:122" x14ac:dyDescent="0.25">
      <c r="A21" s="4"/>
      <c r="B21" s="4"/>
      <c r="C21" t="s">
        <v>24</v>
      </c>
      <c r="D21" s="29">
        <v>1.1095964765795701E-3</v>
      </c>
      <c r="E21" s="30">
        <v>-1.76895753996321E-7</v>
      </c>
      <c r="F21" s="29">
        <v>1.1083898447551001E-3</v>
      </c>
      <c r="G21" s="30">
        <v>7.4809155409291506E-8</v>
      </c>
      <c r="H21" s="30">
        <v>1.3087184230584801E-6</v>
      </c>
      <c r="J21" s="8">
        <v>1.1102890808647799E-3</v>
      </c>
      <c r="K21" s="9">
        <v>-2.9508075682527601E-7</v>
      </c>
      <c r="L21" s="8">
        <v>1.1083898447551001E-3</v>
      </c>
      <c r="M21" s="9">
        <v>1.3119494741749599E-8</v>
      </c>
      <c r="N21" s="9">
        <v>2.1811973717641299E-6</v>
      </c>
      <c r="Q21" s="8">
        <v>1.10983570500795E-3</v>
      </c>
      <c r="R21" s="9">
        <v>-2.1826050498645499E-7</v>
      </c>
      <c r="S21" s="8">
        <v>1.1083898447551001E-3</v>
      </c>
      <c r="T21" s="9">
        <v>5.0034702736627201E-8</v>
      </c>
      <c r="U21" s="9">
        <v>1.6140860551054599E-6</v>
      </c>
      <c r="X21" s="8">
        <v>1.10985131721549E-3</v>
      </c>
      <c r="Y21" s="9">
        <v>-2.1826050498645499E-7</v>
      </c>
      <c r="Z21" s="8">
        <v>1.1083898447551001E-3</v>
      </c>
      <c r="AA21" s="9">
        <v>6.5646910270890596E-8</v>
      </c>
      <c r="AB21" s="9">
        <v>1.6140860551054599E-6</v>
      </c>
      <c r="AE21" s="8">
        <v>1.1098123876313001E-3</v>
      </c>
      <c r="AF21" s="9">
        <v>-2.1826050498645499E-7</v>
      </c>
      <c r="AG21" s="8">
        <v>1.1083898447551001E-3</v>
      </c>
      <c r="AH21" s="9">
        <v>5.3217774175651798E-8</v>
      </c>
      <c r="AI21" s="9">
        <v>1.58758560701945E-6</v>
      </c>
      <c r="AL21" s="8">
        <v>1.10986538852748E-3</v>
      </c>
      <c r="AM21" s="9">
        <v>-2.1826050498645499E-7</v>
      </c>
      <c r="AN21" s="8">
        <v>1.1083898447551001E-3</v>
      </c>
      <c r="AO21" s="9">
        <v>5.3217774175651798E-8</v>
      </c>
      <c r="AP21" s="9">
        <v>1.64058650319147E-6</v>
      </c>
      <c r="AR21">
        <v>8.1305487960166897E-4</v>
      </c>
      <c r="AS21" s="1">
        <v>2.32998524068193E-8</v>
      </c>
      <c r="AT21">
        <v>8.0660747489523402E-4</v>
      </c>
      <c r="AU21" s="1">
        <v>1.36677977220622E-6</v>
      </c>
      <c r="AV21" s="1">
        <v>5.0573250818216504E-6</v>
      </c>
      <c r="AY21">
        <v>8.1308614692007298E-4</v>
      </c>
      <c r="AZ21" s="1">
        <v>2.32998524068193E-8</v>
      </c>
      <c r="BA21">
        <v>8.0660747489523402E-4</v>
      </c>
      <c r="BB21" s="1">
        <v>1.36677977220622E-6</v>
      </c>
      <c r="BC21" s="1">
        <v>5.08859240022633E-6</v>
      </c>
      <c r="BF21">
        <v>8.1405397531611402E-4</v>
      </c>
      <c r="BG21" s="1">
        <v>2.32998524068193E-8</v>
      </c>
      <c r="BH21">
        <v>8.0660747489523402E-4</v>
      </c>
      <c r="BI21" s="1">
        <v>1.3667798061861101E-6</v>
      </c>
      <c r="BJ21" s="1">
        <v>6.0564207622867798E-6</v>
      </c>
      <c r="BN21" s="61" t="s">
        <v>103</v>
      </c>
      <c r="BO21" s="61">
        <v>8.1330931899661798E-4</v>
      </c>
      <c r="BP21" s="62">
        <v>1.57650865998344E-7</v>
      </c>
      <c r="BQ21" s="61">
        <v>8.0660747489523402E-4</v>
      </c>
      <c r="BR21" s="62">
        <v>1.4636068790151499E-6</v>
      </c>
      <c r="BS21" s="62">
        <v>5.0805863563706E-6</v>
      </c>
      <c r="BV21" s="61"/>
      <c r="BW21" s="61"/>
      <c r="BX21" s="62">
        <v>8.2399290279392305E-13</v>
      </c>
      <c r="BY21" s="62">
        <v>1.00653129590084E-11</v>
      </c>
      <c r="BZ21" s="61"/>
      <c r="CA21" s="61"/>
      <c r="CC21" s="63">
        <v>8.1240310216702696E-4</v>
      </c>
      <c r="CD21" s="64">
        <v>2.32998524068193E-8</v>
      </c>
      <c r="CE21" s="63">
        <v>8.0660747489523402E-4</v>
      </c>
      <c r="CF21" s="64">
        <v>1.3569075676863501E-6</v>
      </c>
      <c r="CG21" s="64">
        <v>4.41541985169948E-6</v>
      </c>
      <c r="CJ21" s="63" t="s">
        <v>103</v>
      </c>
      <c r="CK21" s="63">
        <v>8.1273836264573595E-4</v>
      </c>
      <c r="CL21" s="64">
        <v>2.32998524068193E-8</v>
      </c>
      <c r="CM21" s="63">
        <v>8.0626766743494395E-4</v>
      </c>
      <c r="CN21" s="64">
        <v>1.36677977220622E-6</v>
      </c>
      <c r="CO21" s="64">
        <v>5.0806155861793199E-6</v>
      </c>
      <c r="CS21" s="63">
        <v>8.1307373664822103E-4</v>
      </c>
      <c r="CT21" s="64">
        <v>2.32998524068193E-8</v>
      </c>
      <c r="CU21" s="63">
        <v>8.0660747489523402E-4</v>
      </c>
      <c r="CV21" s="64">
        <v>1.3651318203805199E-6</v>
      </c>
      <c r="CW21" s="64">
        <v>5.0778300801999004E-6</v>
      </c>
      <c r="CZ21" s="63">
        <v>8.13082603608912E-4</v>
      </c>
      <c r="DA21" s="64">
        <v>2.32998524068193E-8</v>
      </c>
      <c r="DB21" s="63">
        <v>8.0660747489523402E-4</v>
      </c>
      <c r="DC21" s="64">
        <v>1.3684277919917E-6</v>
      </c>
      <c r="DD21" s="64">
        <v>5.0834010692798299E-6</v>
      </c>
      <c r="DG21" s="63">
        <v>8.1296375844449697E-4</v>
      </c>
      <c r="DH21" s="64">
        <v>2.32998524068193E-8</v>
      </c>
      <c r="DI21" s="63">
        <v>8.0660747489523402E-4</v>
      </c>
      <c r="DJ21" s="64">
        <v>1.36676274828152E-6</v>
      </c>
      <c r="DK21" s="64">
        <v>4.9662209485742097E-6</v>
      </c>
      <c r="DN21" s="63">
        <v>8.1319258174467697E-4</v>
      </c>
      <c r="DO21" s="64">
        <v>2.32998524068193E-8</v>
      </c>
      <c r="DP21" s="63">
        <v>8.0660747489523402E-4</v>
      </c>
      <c r="DQ21" s="64">
        <v>1.36679679613092E-6</v>
      </c>
      <c r="DR21" s="64">
        <v>5.1950102009055104E-6</v>
      </c>
    </row>
    <row r="22" spans="1:122" x14ac:dyDescent="0.25">
      <c r="A22" s="4"/>
      <c r="B22" s="4"/>
      <c r="C22" t="s">
        <v>25</v>
      </c>
      <c r="D22" s="29">
        <v>4.2868408154788703E-3</v>
      </c>
      <c r="E22" s="30">
        <v>-1.3269375219943399E-5</v>
      </c>
      <c r="F22" s="29">
        <v>4.2672607295904698E-3</v>
      </c>
      <c r="G22" s="30">
        <v>-8.1913139168599504E-9</v>
      </c>
      <c r="H22" s="30">
        <v>3.2857652422263899E-5</v>
      </c>
      <c r="J22" s="8">
        <v>4.2951446213501604E-3</v>
      </c>
      <c r="K22" s="9">
        <v>-2.2136420455023401E-5</v>
      </c>
      <c r="L22" s="8">
        <v>4.2672607295904698E-3</v>
      </c>
      <c r="M22" s="9">
        <v>-4.7424418223881003E-6</v>
      </c>
      <c r="N22" s="9">
        <v>5.4762754037106499E-5</v>
      </c>
      <c r="Q22" s="8">
        <v>4.28966652792872E-3</v>
      </c>
      <c r="R22" s="9">
        <v>-1.63728410522214E-5</v>
      </c>
      <c r="S22" s="8">
        <v>4.2672607295904698E-3</v>
      </c>
      <c r="T22" s="9">
        <v>-1.7457985969831599E-6</v>
      </c>
      <c r="U22" s="9">
        <v>4.0524437987458801E-5</v>
      </c>
      <c r="X22" s="8">
        <v>4.2900619478966001E-3</v>
      </c>
      <c r="Y22" s="9">
        <v>-1.63728410522214E-5</v>
      </c>
      <c r="Z22" s="8">
        <v>4.2672607295904698E-3</v>
      </c>
      <c r="AA22" s="9">
        <v>-1.35037862910501E-6</v>
      </c>
      <c r="AB22" s="9">
        <v>4.0524437987458801E-5</v>
      </c>
      <c r="AE22" s="8">
        <v>4.2894627962680298E-3</v>
      </c>
      <c r="AF22" s="9">
        <v>-1.63728410522214E-5</v>
      </c>
      <c r="AG22" s="8">
        <v>4.2672607295904698E-3</v>
      </c>
      <c r="AH22" s="9">
        <v>-1.66517899188179E-6</v>
      </c>
      <c r="AI22" s="9">
        <v>4.0240086721665101E-5</v>
      </c>
      <c r="AL22" s="8">
        <v>-35049009.476741098</v>
      </c>
      <c r="AM22" s="9">
        <v>15294.441355167</v>
      </c>
      <c r="AN22" s="8">
        <v>-34988732.187910303</v>
      </c>
      <c r="AO22" s="9">
        <v>-4571.7091764128199</v>
      </c>
      <c r="AP22" s="9">
        <v>-71000.021009296601</v>
      </c>
      <c r="AR22">
        <v>3.12604850479697E-3</v>
      </c>
      <c r="AS22" s="1">
        <v>2.2782159536255599E-6</v>
      </c>
      <c r="AT22">
        <v>3.10439756473128E-3</v>
      </c>
      <c r="AU22" s="1">
        <v>1.0487522082302699E-5</v>
      </c>
      <c r="AV22" s="1">
        <v>8.8852020297610105E-6</v>
      </c>
      <c r="AY22">
        <v>3.1272450695824299E-3</v>
      </c>
      <c r="AZ22" s="1">
        <v>2.2782159536255599E-6</v>
      </c>
      <c r="BA22">
        <v>3.10439756473128E-3</v>
      </c>
      <c r="BB22" s="1">
        <v>1.0487522082302699E-5</v>
      </c>
      <c r="BC22" s="1">
        <v>1.0081766815228499E-5</v>
      </c>
      <c r="BF22">
        <v>3.1340834100841999E-3</v>
      </c>
      <c r="BG22" s="1">
        <v>2.2782159536255599E-6</v>
      </c>
      <c r="BH22">
        <v>3.10439756473128E-3</v>
      </c>
      <c r="BI22" s="1">
        <v>1.048752310972E-5</v>
      </c>
      <c r="BJ22" s="1">
        <v>1.6920106289579799E-5</v>
      </c>
      <c r="BN22" s="61" t="s">
        <v>104</v>
      </c>
      <c r="BO22" s="61">
        <v>3.1279497500352302E-3</v>
      </c>
      <c r="BP22" s="62">
        <v>2.2781853796386299E-6</v>
      </c>
      <c r="BQ22" s="61">
        <v>3.10439756473128E-3</v>
      </c>
      <c r="BR22" s="62">
        <v>1.1497699536333301E-5</v>
      </c>
      <c r="BS22" s="62">
        <v>9.7763003879841495E-6</v>
      </c>
      <c r="BV22" s="61"/>
      <c r="BW22" s="61"/>
      <c r="BX22" s="62">
        <v>5.1303515219339996E-12</v>
      </c>
      <c r="BY22" s="62">
        <v>1.018938897915E-10</v>
      </c>
      <c r="BZ22" s="61"/>
      <c r="CA22" s="61"/>
      <c r="CC22" s="63">
        <v>3.1260689381803798E-3</v>
      </c>
      <c r="CD22" s="64">
        <v>2.2782159536255599E-6</v>
      </c>
      <c r="CE22" s="63">
        <v>3.10439756473128E-3</v>
      </c>
      <c r="CF22" s="64">
        <v>1.03694333788224E-5</v>
      </c>
      <c r="CG22" s="64">
        <v>9.0237241166530594E-6</v>
      </c>
      <c r="CJ22" s="63" t="s">
        <v>104</v>
      </c>
      <c r="CK22" s="63">
        <v>3.1266435383197999E-3</v>
      </c>
      <c r="CL22" s="64">
        <v>2.2782159536255599E-6</v>
      </c>
      <c r="CM22" s="63">
        <v>3.1041012970881598E-3</v>
      </c>
      <c r="CN22" s="64">
        <v>1.0487522082302699E-5</v>
      </c>
      <c r="CO22" s="64">
        <v>9.7765031957093106E-6</v>
      </c>
      <c r="CS22" s="63">
        <v>3.1269219233819399E-3</v>
      </c>
      <c r="CT22" s="64">
        <v>2.2782159536255599E-6</v>
      </c>
      <c r="CU22" s="63">
        <v>3.10439756473128E-3</v>
      </c>
      <c r="CV22" s="64">
        <v>1.04772624066761E-5</v>
      </c>
      <c r="CW22" s="64">
        <v>9.7688802903634797E-6</v>
      </c>
      <c r="CZ22" s="63">
        <v>3.1269576904764699E-3</v>
      </c>
      <c r="DA22" s="64">
        <v>2.2782159536255599E-6</v>
      </c>
      <c r="DB22" s="63">
        <v>3.10439756473128E-3</v>
      </c>
      <c r="DC22" s="64">
        <v>1.04977838127638E-5</v>
      </c>
      <c r="DD22" s="64">
        <v>9.78412597880496E-6</v>
      </c>
      <c r="DG22" s="63">
        <v>3.1263280402162798E-3</v>
      </c>
      <c r="DH22" s="64">
        <v>2.2782159536255599E-6</v>
      </c>
      <c r="DI22" s="63">
        <v>3.10439756473128E-3</v>
      </c>
      <c r="DJ22" s="64">
        <v>1.0487007346234E-5</v>
      </c>
      <c r="DK22" s="64">
        <v>9.1652521851392105E-6</v>
      </c>
      <c r="DN22" s="63">
        <v>3.1275515715873002E-3</v>
      </c>
      <c r="DO22" s="64">
        <v>2.2782159536255599E-6</v>
      </c>
      <c r="DP22" s="63">
        <v>3.10439756473128E-3</v>
      </c>
      <c r="DQ22" s="64">
        <v>1.0488036818371401E-5</v>
      </c>
      <c r="DR22" s="64">
        <v>1.03877540840292E-5</v>
      </c>
    </row>
    <row r="23" spans="1:122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7"/>
      <c r="BV23" s="61"/>
      <c r="BW23" s="61"/>
      <c r="BX23" s="62"/>
      <c r="BY23" s="62"/>
      <c r="BZ23" s="61"/>
      <c r="CA23" s="61"/>
    </row>
    <row r="24" spans="1:122" x14ac:dyDescent="0.25">
      <c r="A24" s="26"/>
      <c r="B24" s="26"/>
      <c r="C24" s="28" t="s">
        <v>26</v>
      </c>
      <c r="D24" s="28" t="s">
        <v>27</v>
      </c>
      <c r="E24" s="28" t="s">
        <v>28</v>
      </c>
      <c r="F24" s="28" t="s">
        <v>29</v>
      </c>
      <c r="G24" s="28" t="s">
        <v>27</v>
      </c>
      <c r="H24" s="28" t="s">
        <v>28</v>
      </c>
      <c r="I24" s="28" t="s">
        <v>29</v>
      </c>
      <c r="J24" s="27"/>
      <c r="BV24" s="61"/>
      <c r="BW24" s="61"/>
      <c r="BX24" s="61"/>
      <c r="BY24" s="61"/>
      <c r="BZ24" s="61"/>
      <c r="CA24" s="61"/>
    </row>
    <row r="25" spans="1:122" x14ac:dyDescent="0.25">
      <c r="A25" s="26" t="s">
        <v>30</v>
      </c>
      <c r="B25" s="26"/>
      <c r="C25" s="26"/>
      <c r="D25" s="28" t="s">
        <v>31</v>
      </c>
      <c r="E25" s="28" t="s">
        <v>32</v>
      </c>
      <c r="F25" s="28" t="s">
        <v>33</v>
      </c>
      <c r="G25" s="28" t="s">
        <v>31</v>
      </c>
      <c r="H25" s="28" t="s">
        <v>32</v>
      </c>
      <c r="I25" s="28" t="s">
        <v>33</v>
      </c>
      <c r="J25" s="27"/>
      <c r="BX25" s="61"/>
      <c r="BY25" s="61"/>
      <c r="BZ25" s="61"/>
      <c r="CA25" s="61"/>
      <c r="CB25" s="62"/>
    </row>
    <row r="26" spans="1:122" x14ac:dyDescent="0.25">
      <c r="A26" s="26"/>
      <c r="B26" s="26"/>
      <c r="C26" s="26"/>
      <c r="D26" s="28" t="s">
        <v>34</v>
      </c>
      <c r="E26" s="28" t="s">
        <v>34</v>
      </c>
      <c r="F26" s="28" t="s">
        <v>34</v>
      </c>
      <c r="G26" s="28" t="s">
        <v>35</v>
      </c>
      <c r="H26" s="28" t="s">
        <v>35</v>
      </c>
      <c r="I26" s="28" t="s">
        <v>35</v>
      </c>
      <c r="J26" s="27"/>
    </row>
    <row r="27" spans="1:122" x14ac:dyDescent="0.25">
      <c r="A27" s="26"/>
      <c r="B27" s="26"/>
      <c r="C27" s="26" t="s">
        <v>36</v>
      </c>
      <c r="D27" s="26">
        <v>1.8599999999999999E-4</v>
      </c>
      <c r="E27" s="26">
        <v>1.8100000000000001E-4</v>
      </c>
      <c r="F27" s="26">
        <v>2.7500000000000002E-4</v>
      </c>
      <c r="G27" s="26">
        <v>8.0000000000000004E-4</v>
      </c>
      <c r="H27" s="26">
        <v>9.1699999999999995E-4</v>
      </c>
      <c r="I27" s="26">
        <v>2.48E-3</v>
      </c>
      <c r="J27" s="27"/>
    </row>
    <row r="28" spans="1:122" x14ac:dyDescent="0.25">
      <c r="A28" s="26"/>
      <c r="B28" s="26"/>
      <c r="C28" s="26" t="s">
        <v>37</v>
      </c>
      <c r="D28" s="26">
        <v>2.1000000000000001E-2</v>
      </c>
      <c r="E28" s="26">
        <v>2.0199999999999999E-2</v>
      </c>
      <c r="F28" s="26">
        <v>4.1000000000000002E-2</v>
      </c>
      <c r="G28" s="26">
        <v>1.4999999999999999E-2</v>
      </c>
      <c r="H28" s="26">
        <v>1.35E-2</v>
      </c>
      <c r="I28" s="26">
        <v>2.3900000000000001E-2</v>
      </c>
      <c r="J28" s="27"/>
    </row>
    <row r="29" spans="1:122" x14ac:dyDescent="0.25">
      <c r="A29" s="26"/>
      <c r="B29" s="26"/>
      <c r="C29" s="26" t="s">
        <v>38</v>
      </c>
      <c r="D29" s="26">
        <v>131</v>
      </c>
      <c r="E29" s="26">
        <v>308</v>
      </c>
      <c r="F29" s="26">
        <v>308</v>
      </c>
      <c r="G29" s="26">
        <v>98.5</v>
      </c>
      <c r="H29" s="26">
        <v>245</v>
      </c>
      <c r="I29" s="26">
        <v>245</v>
      </c>
      <c r="J29" s="27"/>
    </row>
    <row r="30" spans="1:122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7"/>
    </row>
    <row r="31" spans="1:122" x14ac:dyDescent="0.25">
      <c r="A31" s="26" t="s">
        <v>39</v>
      </c>
      <c r="B31" s="26"/>
      <c r="C31" s="26"/>
      <c r="D31" s="69" t="s">
        <v>40</v>
      </c>
      <c r="E31" s="69"/>
      <c r="F31" s="69"/>
      <c r="G31" s="69"/>
      <c r="H31" s="26"/>
      <c r="I31" s="26"/>
      <c r="J31" s="27"/>
    </row>
    <row r="32" spans="1:122" x14ac:dyDescent="0.25">
      <c r="A32" s="26"/>
      <c r="B32" s="26"/>
      <c r="C32" s="26"/>
      <c r="D32" s="28" t="s">
        <v>41</v>
      </c>
      <c r="E32" s="28" t="s">
        <v>31</v>
      </c>
      <c r="F32" s="28" t="s">
        <v>32</v>
      </c>
      <c r="G32" s="28" t="s">
        <v>33</v>
      </c>
      <c r="H32" s="26"/>
      <c r="I32" s="26"/>
      <c r="J32" s="27"/>
    </row>
    <row r="33" spans="1:123" x14ac:dyDescent="0.25">
      <c r="A33" s="26"/>
      <c r="B33" s="26"/>
      <c r="C33" s="26" t="s">
        <v>42</v>
      </c>
      <c r="D33" s="26">
        <v>400</v>
      </c>
      <c r="E33" s="26">
        <v>250</v>
      </c>
      <c r="F33" s="26">
        <v>400</v>
      </c>
      <c r="G33" s="26">
        <v>500</v>
      </c>
      <c r="H33" s="26"/>
      <c r="I33" s="26"/>
      <c r="J33" s="27"/>
    </row>
    <row r="34" spans="1:123" x14ac:dyDescent="0.25">
      <c r="A34" s="26"/>
      <c r="B34" s="26"/>
      <c r="C34" s="26" t="s">
        <v>43</v>
      </c>
      <c r="D34" s="26">
        <v>400</v>
      </c>
      <c r="E34" s="26">
        <v>550</v>
      </c>
      <c r="F34" s="26">
        <v>300</v>
      </c>
      <c r="G34" s="26">
        <v>300</v>
      </c>
      <c r="H34" s="26"/>
      <c r="I34" s="26"/>
      <c r="J34" s="27"/>
    </row>
    <row r="35" spans="1:123" x14ac:dyDescent="0.25">
      <c r="A35" s="26"/>
      <c r="B35" s="26"/>
      <c r="C35" s="26" t="s">
        <v>44</v>
      </c>
      <c r="D35" s="26">
        <v>200</v>
      </c>
      <c r="E35" s="26">
        <v>200</v>
      </c>
      <c r="F35" s="26">
        <v>300</v>
      </c>
      <c r="G35" s="26">
        <v>200</v>
      </c>
      <c r="H35" s="26"/>
      <c r="I35" s="26"/>
      <c r="J35" s="27"/>
    </row>
    <row r="36" spans="1:123" x14ac:dyDescent="0.25">
      <c r="A36" s="26"/>
      <c r="B36" s="26"/>
      <c r="C36" s="26" t="s">
        <v>4</v>
      </c>
      <c r="D36" s="26">
        <f>SUM(D33:D35)</f>
        <v>1000</v>
      </c>
      <c r="E36" s="26">
        <f>SUM(E33:E35)</f>
        <v>1000</v>
      </c>
      <c r="F36" s="26">
        <f>SUM(F33:F35)</f>
        <v>1000</v>
      </c>
      <c r="G36" s="26">
        <f>SUM(G33:G35)</f>
        <v>1000</v>
      </c>
      <c r="H36" s="26"/>
      <c r="I36" s="26"/>
      <c r="J36" s="27"/>
    </row>
    <row r="37" spans="1:123" x14ac:dyDescent="0.25">
      <c r="A37" s="4"/>
      <c r="B37" s="4"/>
      <c r="C37" s="4"/>
      <c r="D37" s="4"/>
      <c r="E37" s="4"/>
      <c r="F37" s="4"/>
      <c r="G37" s="4"/>
      <c r="H37" s="4"/>
      <c r="I37" s="4"/>
      <c r="Q37">
        <v>0</v>
      </c>
      <c r="R37">
        <v>0</v>
      </c>
      <c r="BO37" s="61" t="s">
        <v>170</v>
      </c>
      <c r="CC37" s="61" t="s">
        <v>184</v>
      </c>
      <c r="CD37" s="63"/>
      <c r="CE37" s="63"/>
      <c r="CF37" s="63"/>
      <c r="CG37" s="63"/>
      <c r="CH37" s="63"/>
      <c r="CK37" t="s">
        <v>177</v>
      </c>
      <c r="CS37" t="s">
        <v>186</v>
      </c>
      <c r="CZ37" t="s">
        <v>179</v>
      </c>
      <c r="DG37" t="s">
        <v>180</v>
      </c>
      <c r="DN37" t="s">
        <v>181</v>
      </c>
    </row>
    <row r="38" spans="1:123" x14ac:dyDescent="0.25">
      <c r="A38" s="6" t="s">
        <v>45</v>
      </c>
      <c r="B38" s="4"/>
      <c r="C38" s="4"/>
      <c r="D38" s="4" t="str">
        <f>D5</f>
        <v>Total Al 30 T</v>
      </c>
      <c r="E38" s="4" t="str">
        <f t="shared" ref="E38:AY38" si="0">E5</f>
        <v>End of Life</v>
      </c>
      <c r="F38" s="4" t="str">
        <f t="shared" si="0"/>
        <v>Operation</v>
      </c>
      <c r="G38" s="4" t="str">
        <f t="shared" si="0"/>
        <v>Production</v>
      </c>
      <c r="H38" s="4" t="str">
        <f t="shared" si="0"/>
        <v>Raw materials</v>
      </c>
      <c r="I38" s="4" t="s">
        <v>137</v>
      </c>
      <c r="J38" s="4" t="str">
        <f t="shared" si="0"/>
        <v>Total Al 50 T</v>
      </c>
      <c r="K38" s="4" t="str">
        <f t="shared" si="0"/>
        <v>End of Life</v>
      </c>
      <c r="L38" s="4" t="str">
        <f t="shared" si="0"/>
        <v>Operation</v>
      </c>
      <c r="M38" s="4" t="str">
        <f t="shared" si="0"/>
        <v>Production</v>
      </c>
      <c r="N38" s="4" t="str">
        <f t="shared" si="0"/>
        <v>Raw materials</v>
      </c>
      <c r="O38" s="4" t="s">
        <v>137</v>
      </c>
      <c r="P38" s="4"/>
      <c r="Q38" s="4" t="str">
        <f t="shared" si="0"/>
        <v>Total Al 925m</v>
      </c>
      <c r="R38" s="4" t="str">
        <f t="shared" si="0"/>
        <v>End of Life</v>
      </c>
      <c r="S38" s="4" t="str">
        <f t="shared" si="0"/>
        <v>Operation</v>
      </c>
      <c r="T38" s="4" t="str">
        <f t="shared" si="0"/>
        <v>Production</v>
      </c>
      <c r="U38" s="4" t="str">
        <f t="shared" si="0"/>
        <v>Raw materials</v>
      </c>
      <c r="V38" s="4" t="s">
        <v>137</v>
      </c>
      <c r="W38" s="4"/>
      <c r="X38" s="4" t="str">
        <f t="shared" si="0"/>
        <v>Total Al 20km welding</v>
      </c>
      <c r="Y38" s="4" t="str">
        <f t="shared" si="0"/>
        <v>End of Life</v>
      </c>
      <c r="Z38" s="4" t="str">
        <f t="shared" si="0"/>
        <v>Operation</v>
      </c>
      <c r="AA38" s="4" t="str">
        <f t="shared" si="0"/>
        <v>Production</v>
      </c>
      <c r="AB38" s="4" t="str">
        <f t="shared" si="0"/>
        <v>Raw materials</v>
      </c>
      <c r="AC38" s="4" t="s">
        <v>137</v>
      </c>
      <c r="AD38" s="4"/>
      <c r="AE38" s="4" t="str">
        <f t="shared" si="0"/>
        <v>Total Al 15000 km transport</v>
      </c>
      <c r="AF38" s="4" t="str">
        <f t="shared" si="0"/>
        <v>End of Life</v>
      </c>
      <c r="AG38" s="4" t="str">
        <f t="shared" si="0"/>
        <v>Operation</v>
      </c>
      <c r="AH38" s="4" t="str">
        <f t="shared" si="0"/>
        <v>Production</v>
      </c>
      <c r="AI38" s="4" t="str">
        <f t="shared" si="0"/>
        <v>Raw materials</v>
      </c>
      <c r="AJ38" s="4" t="s">
        <v>137</v>
      </c>
      <c r="AK38" s="4"/>
      <c r="AL38" s="4" t="str">
        <f t="shared" si="0"/>
        <v>Total Aluminium 25000km transport</v>
      </c>
      <c r="AM38" s="4" t="str">
        <f t="shared" si="0"/>
        <v>End of Life</v>
      </c>
      <c r="AN38" s="4" t="str">
        <f t="shared" si="0"/>
        <v>Operation</v>
      </c>
      <c r="AO38" s="4" t="str">
        <f t="shared" si="0"/>
        <v>Production</v>
      </c>
      <c r="AP38" s="4" t="str">
        <f t="shared" si="0"/>
        <v>Raw materials</v>
      </c>
      <c r="AQ38" s="4"/>
      <c r="AR38" s="4" t="str">
        <f t="shared" si="0"/>
        <v>total CFRP 20000tkm Lorry transport</v>
      </c>
      <c r="AS38" s="4" t="str">
        <f t="shared" si="0"/>
        <v>End of Life</v>
      </c>
      <c r="AT38" s="4" t="str">
        <f t="shared" si="0"/>
        <v>Operation</v>
      </c>
      <c r="AU38" s="4" t="str">
        <f t="shared" si="0"/>
        <v>Production</v>
      </c>
      <c r="AV38" s="4" t="str">
        <f t="shared" si="0"/>
        <v>Raw materials</v>
      </c>
      <c r="AW38" s="4" t="s">
        <v>137</v>
      </c>
      <c r="AX38" s="4"/>
      <c r="AY38" s="4" t="str">
        <f t="shared" si="0"/>
        <v>total CFRP 20000tkm Lorry transport</v>
      </c>
      <c r="AZ38" s="4" t="str">
        <f>AZ5</f>
        <v>End of Life</v>
      </c>
      <c r="BA38" s="4" t="str">
        <f t="shared" ref="BA38:BC38" si="1">BA5</f>
        <v>Operation</v>
      </c>
      <c r="BB38" s="4" t="str">
        <f t="shared" si="1"/>
        <v>Production</v>
      </c>
      <c r="BC38" s="4" t="str">
        <f t="shared" si="1"/>
        <v>Raw materials</v>
      </c>
      <c r="BD38" s="4" t="s">
        <v>137</v>
      </c>
      <c r="BE38" s="4"/>
      <c r="BF38" s="4" t="str">
        <f>BF5</f>
        <v>total polymer</v>
      </c>
      <c r="BG38" s="4" t="str">
        <f t="shared" ref="BG38:CW38" si="2">BG5</f>
        <v>End of Life</v>
      </c>
      <c r="BH38" s="4" t="str">
        <f t="shared" si="2"/>
        <v>Operation</v>
      </c>
      <c r="BI38" s="4" t="str">
        <f t="shared" si="2"/>
        <v>Production</v>
      </c>
      <c r="BJ38" s="4" t="str">
        <f t="shared" si="2"/>
        <v>Raw materials</v>
      </c>
      <c r="BK38" s="4" t="s">
        <v>137</v>
      </c>
      <c r="BL38" s="4"/>
      <c r="BM38" s="4"/>
      <c r="BN38" s="4"/>
      <c r="BO38" s="4" t="str">
        <f t="shared" ref="BO38:BS38" si="3">BO5</f>
        <v>total pvc waste</v>
      </c>
      <c r="BP38" s="4" t="str">
        <f t="shared" si="3"/>
        <v>End of Life</v>
      </c>
      <c r="BQ38" s="4" t="str">
        <f t="shared" si="3"/>
        <v>Operation</v>
      </c>
      <c r="BR38" s="4" t="str">
        <f t="shared" si="3"/>
        <v>Production</v>
      </c>
      <c r="BS38" s="4" t="str">
        <f t="shared" si="3"/>
        <v>Raw materials</v>
      </c>
      <c r="BT38" s="4" t="s">
        <v>137</v>
      </c>
      <c r="BU38" s="4"/>
      <c r="BV38" s="4"/>
      <c r="BW38" s="4"/>
      <c r="BX38" s="5" t="s">
        <v>171</v>
      </c>
      <c r="BY38" s="5" t="s">
        <v>170</v>
      </c>
      <c r="BZ38" s="4"/>
      <c r="CA38" s="4"/>
      <c r="CB38" s="4"/>
      <c r="CC38" s="4" t="str">
        <f t="shared" ref="CC38:CG38" si="4">CC5</f>
        <v>toal</v>
      </c>
      <c r="CD38" s="4" t="str">
        <f t="shared" si="4"/>
        <v>End of Life</v>
      </c>
      <c r="CE38" s="4" t="str">
        <f t="shared" si="4"/>
        <v>Operation</v>
      </c>
      <c r="CF38" s="4" t="str">
        <f t="shared" si="4"/>
        <v>Production</v>
      </c>
      <c r="CG38" s="4" t="str">
        <f t="shared" si="4"/>
        <v>Raw materials</v>
      </c>
      <c r="CH38" s="4" t="s">
        <v>137</v>
      </c>
      <c r="CI38" s="4"/>
      <c r="CJ38" s="4"/>
      <c r="CK38" s="4" t="str">
        <f t="shared" ref="CK38:CO38" si="5">CK5</f>
        <v>toal</v>
      </c>
      <c r="CL38" s="4" t="str">
        <f t="shared" si="5"/>
        <v>End of Life</v>
      </c>
      <c r="CM38" s="4" t="str">
        <f t="shared" si="5"/>
        <v>Operation</v>
      </c>
      <c r="CN38" s="4" t="str">
        <f t="shared" si="5"/>
        <v>Production</v>
      </c>
      <c r="CO38" s="4" t="str">
        <f t="shared" si="5"/>
        <v>Raw materials</v>
      </c>
      <c r="CP38" s="4" t="s">
        <v>137</v>
      </c>
      <c r="CQ38" s="4"/>
      <c r="CR38" s="4"/>
      <c r="CS38" s="4" t="str">
        <f t="shared" si="2"/>
        <v>toal</v>
      </c>
      <c r="CT38" s="4" t="str">
        <f t="shared" si="2"/>
        <v>End of Life</v>
      </c>
      <c r="CU38" s="4" t="str">
        <f t="shared" si="2"/>
        <v>Operation</v>
      </c>
      <c r="CV38" s="4" t="str">
        <f t="shared" si="2"/>
        <v>Production</v>
      </c>
      <c r="CW38" s="4" t="str">
        <f t="shared" si="2"/>
        <v>Raw materials</v>
      </c>
      <c r="CX38" s="4" t="s">
        <v>137</v>
      </c>
      <c r="CY38" s="4"/>
      <c r="CZ38" s="4" t="str">
        <f t="shared" ref="CZ38:DD38" si="6">CZ5</f>
        <v>toal</v>
      </c>
      <c r="DA38" s="4" t="str">
        <f t="shared" si="6"/>
        <v>End of Life</v>
      </c>
      <c r="DB38" s="4" t="str">
        <f t="shared" si="6"/>
        <v>Operation</v>
      </c>
      <c r="DC38" s="4" t="str">
        <f t="shared" si="6"/>
        <v>Production</v>
      </c>
      <c r="DD38" s="4" t="str">
        <f t="shared" si="6"/>
        <v>Raw materials</v>
      </c>
      <c r="DE38" s="4" t="s">
        <v>137</v>
      </c>
      <c r="DF38" s="4"/>
      <c r="DG38" s="4" t="str">
        <f t="shared" ref="DG38:DK38" si="7">DG5</f>
        <v>toal</v>
      </c>
      <c r="DH38" s="4" t="str">
        <f t="shared" si="7"/>
        <v>End of Life</v>
      </c>
      <c r="DI38" s="4" t="str">
        <f t="shared" si="7"/>
        <v>Operation</v>
      </c>
      <c r="DJ38" s="4" t="str">
        <f t="shared" si="7"/>
        <v>Production</v>
      </c>
      <c r="DK38" s="4" t="str">
        <f t="shared" si="7"/>
        <v>Raw materials</v>
      </c>
      <c r="DL38" s="4" t="s">
        <v>137</v>
      </c>
      <c r="DN38" s="4" t="str">
        <f t="shared" ref="DN38:DR38" si="8">DN5</f>
        <v>toal</v>
      </c>
      <c r="DO38" s="4" t="str">
        <f t="shared" si="8"/>
        <v>End of Life</v>
      </c>
      <c r="DP38" s="4" t="str">
        <f t="shared" si="8"/>
        <v>Operation</v>
      </c>
      <c r="DQ38" s="4" t="str">
        <f t="shared" si="8"/>
        <v>Production</v>
      </c>
      <c r="DR38" s="4" t="str">
        <f t="shared" si="8"/>
        <v>Raw materials</v>
      </c>
      <c r="DS38" s="4" t="s">
        <v>137</v>
      </c>
    </row>
    <row r="39" spans="1:123" x14ac:dyDescent="0.25">
      <c r="A39" s="4"/>
      <c r="B39" s="4"/>
      <c r="C39" s="4" t="s">
        <v>46</v>
      </c>
      <c r="D39" s="7">
        <f>D$6/$E$27+D$7/$E$27+D$10/$E$27+D$11/$E$27+D$14/$E$27+D$16/$E$27+D$20/$E$27+D$21/$E$27+D$22/$E$27</f>
        <v>6136.9087075125753</v>
      </c>
      <c r="E39" s="7">
        <f t="shared" ref="E39:BJ39" si="9">E$6/$E$27+E$7/$E$27+E$10/$E$27+E$11/$E$27+E$14/$E$27+E$16/$E$27+E$20/$E$27+E$21/$E$27+E$22/$E$27</f>
        <v>-2.1768794419661361</v>
      </c>
      <c r="F39" s="7">
        <f t="shared" si="9"/>
        <v>6123.2321309733261</v>
      </c>
      <c r="G39" s="7">
        <f t="shared" si="9"/>
        <v>0.73490211647940085</v>
      </c>
      <c r="H39" s="7">
        <f t="shared" si="9"/>
        <v>15.118553864734814</v>
      </c>
      <c r="I39" s="7">
        <f>G39+H39</f>
        <v>15.853455981214214</v>
      </c>
      <c r="J39" s="7">
        <f t="shared" si="9"/>
        <v>6144.7743836242153</v>
      </c>
      <c r="K39" s="7">
        <f t="shared" si="9"/>
        <v>-3.6300522334597574</v>
      </c>
      <c r="L39" s="7">
        <f t="shared" si="9"/>
        <v>6123.2321309733261</v>
      </c>
      <c r="M39" s="7">
        <f t="shared" si="9"/>
        <v>-2.5284890208333737E-2</v>
      </c>
      <c r="N39" s="7">
        <f t="shared" si="9"/>
        <v>25.197589774558047</v>
      </c>
      <c r="O39" s="7">
        <f>M39+N39</f>
        <v>25.172304884349714</v>
      </c>
      <c r="P39" s="7"/>
      <c r="Q39" s="7">
        <f t="shared" si="9"/>
        <v>6139.6250461984564</v>
      </c>
      <c r="R39" s="7">
        <f t="shared" si="9"/>
        <v>-2.6854899189889014</v>
      </c>
      <c r="S39" s="7">
        <f t="shared" si="9"/>
        <v>6123.2321309733261</v>
      </c>
      <c r="T39" s="7">
        <f t="shared" si="9"/>
        <v>0.43218871094923228</v>
      </c>
      <c r="U39" s="7">
        <f t="shared" si="9"/>
        <v>18.646216433172945</v>
      </c>
      <c r="V39" s="7">
        <f>T39+U39</f>
        <v>19.078405144122179</v>
      </c>
      <c r="W39" s="7"/>
      <c r="X39" s="7">
        <f t="shared" si="9"/>
        <v>6139.8047956831542</v>
      </c>
      <c r="Y39" s="7">
        <f t="shared" si="9"/>
        <v>-2.6854899189889014</v>
      </c>
      <c r="Z39" s="7">
        <f t="shared" si="9"/>
        <v>6123.2321309733261</v>
      </c>
      <c r="AA39" s="7">
        <f t="shared" si="9"/>
        <v>0.61193819564040786</v>
      </c>
      <c r="AB39" s="7">
        <f t="shared" si="9"/>
        <v>18.646216433172945</v>
      </c>
      <c r="AC39" s="7">
        <f>AA39+AB39</f>
        <v>19.258154628813354</v>
      </c>
      <c r="AD39" s="7"/>
      <c r="AE39" s="7">
        <f t="shared" si="9"/>
        <v>6139.508793954994</v>
      </c>
      <c r="AF39" s="7">
        <f t="shared" si="9"/>
        <v>-2.6854899189889014</v>
      </c>
      <c r="AG39" s="7">
        <f t="shared" si="9"/>
        <v>6123.2321309733261</v>
      </c>
      <c r="AH39" s="7">
        <f t="shared" si="9"/>
        <v>0.46883666413869507</v>
      </c>
      <c r="AI39" s="7">
        <f t="shared" si="9"/>
        <v>18.493316236514957</v>
      </c>
      <c r="AJ39" s="7">
        <f>AH39+AI39</f>
        <v>18.962152900653653</v>
      </c>
      <c r="AK39" s="7"/>
      <c r="AL39" s="7">
        <f t="shared" si="9"/>
        <v>-193640930219.47342</v>
      </c>
      <c r="AM39" s="7">
        <f t="shared" si="9"/>
        <v>84499673.400365561</v>
      </c>
      <c r="AN39" s="7">
        <f t="shared" si="9"/>
        <v>-193307906540.7323</v>
      </c>
      <c r="AO39" s="7">
        <f t="shared" si="9"/>
        <v>-25258061.270100575</v>
      </c>
      <c r="AP39" s="7">
        <f t="shared" si="9"/>
        <v>-392265290.8699739</v>
      </c>
      <c r="AQ39" s="7"/>
      <c r="AR39" s="7">
        <f t="shared" si="9"/>
        <v>4480.3047008503481</v>
      </c>
      <c r="AS39" s="7">
        <f t="shared" si="9"/>
        <v>0.14636499549456555</v>
      </c>
      <c r="AT39" s="7">
        <f t="shared" si="9"/>
        <v>4455.0006965492721</v>
      </c>
      <c r="AU39" s="7">
        <f t="shared" si="9"/>
        <v>9.0229942988099623</v>
      </c>
      <c r="AV39" s="7">
        <f t="shared" si="9"/>
        <v>16.134645006770665</v>
      </c>
      <c r="AW39" s="7">
        <f>AU39+AV39</f>
        <v>25.157639305580627</v>
      </c>
      <c r="AX39" s="7"/>
      <c r="AY39" s="7">
        <f t="shared" si="9"/>
        <v>4480.5390360115898</v>
      </c>
      <c r="AZ39" s="7">
        <f>AZ$6/$E$27+AZ$7/$E$27+AZ$10/$E$27+AZ$11/$E$27+AZ$14/$E$27+AZ$16/$E$27+AZ$20/$E$27+AZ$21/$E$27+AZ$22/$E$27</f>
        <v>0.14636499549456555</v>
      </c>
      <c r="BA39" s="7">
        <f t="shared" si="9"/>
        <v>4455.0006965492721</v>
      </c>
      <c r="BB39" s="7">
        <f t="shared" si="9"/>
        <v>9.0229942988099623</v>
      </c>
      <c r="BC39" s="7">
        <f t="shared" si="9"/>
        <v>16.368980168015472</v>
      </c>
      <c r="BD39" s="7">
        <f>BB39+BC39</f>
        <v>25.391974466825435</v>
      </c>
      <c r="BE39" s="7"/>
      <c r="BF39" s="7">
        <f t="shared" si="9"/>
        <v>4481.4154600765769</v>
      </c>
      <c r="BG39" s="7">
        <f t="shared" si="9"/>
        <v>0.14636499549456555</v>
      </c>
      <c r="BH39" s="7">
        <f t="shared" si="9"/>
        <v>4455.0006965492721</v>
      </c>
      <c r="BI39" s="7">
        <f t="shared" si="9"/>
        <v>9.0230158124917335</v>
      </c>
      <c r="BJ39" s="7">
        <f t="shared" si="9"/>
        <v>17.245382719317615</v>
      </c>
      <c r="BK39" s="7">
        <f>BI39+BJ39</f>
        <v>26.268398531809346</v>
      </c>
      <c r="BL39" s="7"/>
      <c r="BM39" s="7"/>
      <c r="BN39" s="7"/>
      <c r="BO39" s="7">
        <f t="shared" ref="BO39:BS39" si="10">BO$6/$E$27+BO$7/$E$27+BO$10/$E$27+BO$11/$E$27+BO$14/$E$27+BO$16/$E$27+BO$20/$E$27+BO$21/$E$27+BO$22/$E$27</f>
        <v>4480.1427696229985</v>
      </c>
      <c r="BP39" s="7">
        <f t="shared" si="10"/>
        <v>8.7856456190383472E-2</v>
      </c>
      <c r="BQ39" s="7">
        <f t="shared" si="10"/>
        <v>4455.0006965492721</v>
      </c>
      <c r="BR39" s="7">
        <f t="shared" si="10"/>
        <v>8.7451929229781129</v>
      </c>
      <c r="BS39" s="7">
        <f t="shared" si="10"/>
        <v>16.309023694556831</v>
      </c>
      <c r="BT39" s="7">
        <f>BR39+BS39</f>
        <v>25.054216617534944</v>
      </c>
      <c r="BU39" s="7"/>
      <c r="BV39" s="7"/>
      <c r="BW39" s="7"/>
      <c r="BX39" s="7">
        <f t="shared" ref="BX39:BY39" si="11">BX$6/$E$27+BX$7/$E$27+BX$10/$E$27+BX$11/$E$27+BX$14/$E$27+BX$16/$E$27+BX$20/$E$27+BX$21/$E$27+BX$22/$E$27</f>
        <v>1.3139372818545212E-4</v>
      </c>
      <c r="BY39" s="7">
        <f t="shared" si="11"/>
        <v>1.0329261998252962E-4</v>
      </c>
      <c r="BZ39" s="7"/>
      <c r="CA39" s="7"/>
      <c r="CB39" s="7"/>
      <c r="CC39" s="7">
        <f t="shared" ref="CC39:CG39" si="12">CC$6/$E$27+CC$7/$E$27+CC$10/$E$27+CC$11/$E$27+CC$14/$E$27+CC$16/$E$27+CC$20/$E$27+CC$21/$E$27+CC$22/$E$27</f>
        <v>4477.7535245754943</v>
      </c>
      <c r="CD39" s="7">
        <f t="shared" si="12"/>
        <v>0.14636499549456555</v>
      </c>
      <c r="CE39" s="7">
        <f t="shared" si="12"/>
        <v>4455.0006965492721</v>
      </c>
      <c r="CF39" s="7">
        <f t="shared" si="12"/>
        <v>8.4500511684690824</v>
      </c>
      <c r="CG39" s="7">
        <f t="shared" si="12"/>
        <v>14.156411862257258</v>
      </c>
      <c r="CH39" s="7">
        <f>CF39+CG39</f>
        <v>22.606463030726339</v>
      </c>
      <c r="CI39" s="7"/>
      <c r="CJ39" s="7"/>
      <c r="CK39" s="7">
        <f t="shared" ref="CK39:CO39" si="13">CK$6/$E$27+CK$7/$E$27+CK$10/$E$27+CK$11/$E$27+CK$14/$E$27+CK$16/$E$27+CK$20/$E$27+CK$21/$E$27+CK$22/$E$27</f>
        <v>4479.6551361018592</v>
      </c>
      <c r="CL39" s="7">
        <f t="shared" si="13"/>
        <v>0.14636499549456555</v>
      </c>
      <c r="CM39" s="7">
        <f t="shared" si="13"/>
        <v>4454.176579444761</v>
      </c>
      <c r="CN39" s="7">
        <f t="shared" si="13"/>
        <v>9.0229942988099623</v>
      </c>
      <c r="CO39" s="7">
        <f t="shared" si="13"/>
        <v>16.309197362795899</v>
      </c>
      <c r="CP39" s="7">
        <f>CN39+CO39</f>
        <v>25.332191661605862</v>
      </c>
      <c r="CQ39" s="7"/>
      <c r="CR39" s="7"/>
      <c r="CS39" s="7">
        <f t="shared" ref="CS39:DD39" si="14">CS$6/$E$27+CS$7/$E$27+CS$10/$E$27+CS$11/$E$27+CS$14/$E$27+CS$16/$E$27+CS$20/$E$27+CS$21/$E$27+CS$22/$E$27</f>
        <v>4479.9078786491873</v>
      </c>
      <c r="CT39" s="7">
        <f t="shared" si="14"/>
        <v>0.14636499549456555</v>
      </c>
      <c r="CU39" s="7">
        <f t="shared" si="14"/>
        <v>4455.0006965492721</v>
      </c>
      <c r="CV39" s="7">
        <f t="shared" si="14"/>
        <v>8.7602283561207948</v>
      </c>
      <c r="CW39" s="7">
        <f t="shared" si="14"/>
        <v>16.000588748302317</v>
      </c>
      <c r="CX39" s="7">
        <f>CV39+CW39</f>
        <v>24.760817104423111</v>
      </c>
      <c r="CY39" s="7"/>
      <c r="CZ39" s="7">
        <f t="shared" si="14"/>
        <v>4481.0506707475697</v>
      </c>
      <c r="DA39" s="7">
        <f t="shared" si="14"/>
        <v>0.14636499549456555</v>
      </c>
      <c r="DB39" s="7">
        <f t="shared" si="14"/>
        <v>4455.0006965492721</v>
      </c>
      <c r="DC39" s="7">
        <f t="shared" si="14"/>
        <v>9.2858032688626189</v>
      </c>
      <c r="DD39" s="7">
        <f t="shared" si="14"/>
        <v>16.617805933943341</v>
      </c>
      <c r="DE39" s="7">
        <f>DC39+DD39</f>
        <v>25.90360920280596</v>
      </c>
      <c r="DF39" s="7"/>
      <c r="DG39" s="7">
        <f t="shared" ref="DG39:DK39" si="15">DG$6/$E$27+DG$7/$E$27+DG$10/$E$27+DG$11/$E$27+DG$14/$E$27+DG$16/$E$27+DG$20/$E$27+DG$21/$E$27+DG$22/$E$27</f>
        <v>4480.2517440065321</v>
      </c>
      <c r="DH39" s="7">
        <f t="shared" si="15"/>
        <v>0.14636499549456555</v>
      </c>
      <c r="DI39" s="7">
        <f t="shared" si="15"/>
        <v>4455.0006965492721</v>
      </c>
      <c r="DJ39" s="7">
        <f t="shared" si="15"/>
        <v>9.0122159441404381</v>
      </c>
      <c r="DK39" s="7">
        <f t="shared" si="15"/>
        <v>16.092466517625375</v>
      </c>
      <c r="DL39" s="7">
        <f>DJ39+DK39</f>
        <v>25.104682461765812</v>
      </c>
      <c r="DN39" s="7">
        <f t="shared" ref="DN39:DR39" si="16">DN$6/$E$27+DN$7/$E$27+DN$10/$E$27+DN$11/$E$27+DN$14/$E$27+DN$16/$E$27+DN$20/$E$27+DN$21/$E$27+DN$22/$E$27</f>
        <v>4480.7067623628636</v>
      </c>
      <c r="DO39" s="7">
        <f t="shared" si="16"/>
        <v>0.14636499549456555</v>
      </c>
      <c r="DP39" s="7">
        <f t="shared" si="16"/>
        <v>4455.0006965492721</v>
      </c>
      <c r="DQ39" s="7">
        <f t="shared" si="16"/>
        <v>9.0337726534794847</v>
      </c>
      <c r="DR39" s="7">
        <f t="shared" si="16"/>
        <v>16.525928164620286</v>
      </c>
      <c r="DS39" s="7">
        <f>DQ39+DR39</f>
        <v>25.55970081809977</v>
      </c>
    </row>
    <row r="40" spans="1:123" x14ac:dyDescent="0.25">
      <c r="A40" s="4"/>
      <c r="B40" s="4"/>
      <c r="C40" s="4" t="s">
        <v>47</v>
      </c>
      <c r="D40" s="7">
        <f>D$8/$E$28+D$12/$E$28+D$13/$D$2/$E$28+D$17/$E$28+D$18/$E$28+D$19/$E$28</f>
        <v>15330.111489382445</v>
      </c>
      <c r="E40" s="7">
        <f t="shared" ref="E40:BJ40" si="17">E$8/$E$28+E$12/$E$28+E$13/$D$2/$E$28+E$17/$E$28+E$18/$E$28+E$19/$E$28</f>
        <v>-3.7669535138634154</v>
      </c>
      <c r="F40" s="7">
        <f t="shared" si="17"/>
        <v>15303.592208992526</v>
      </c>
      <c r="G40" s="7">
        <f t="shared" si="17"/>
        <v>2.1451337206634196</v>
      </c>
      <c r="H40" s="7">
        <f t="shared" si="17"/>
        <v>28.141100183113689</v>
      </c>
      <c r="I40" s="7">
        <f t="shared" ref="I40:I46" si="18">G40+H40</f>
        <v>30.286233903777109</v>
      </c>
      <c r="J40" s="7">
        <f t="shared" si="17"/>
        <v>15345.053920888287</v>
      </c>
      <c r="K40" s="7">
        <f t="shared" si="17"/>
        <v>-6.2819141951270963</v>
      </c>
      <c r="L40" s="7">
        <f t="shared" si="17"/>
        <v>15303.592208992526</v>
      </c>
      <c r="M40" s="7">
        <f t="shared" si="17"/>
        <v>0.84179245235225708</v>
      </c>
      <c r="N40" s="7">
        <f t="shared" si="17"/>
        <v>46.901833638522788</v>
      </c>
      <c r="O40" s="7">
        <f t="shared" ref="O40:O46" si="19">M40+N40</f>
        <v>47.743626090875047</v>
      </c>
      <c r="P40" s="7"/>
      <c r="Q40" s="7">
        <f t="shared" si="17"/>
        <v>15335.259549953371</v>
      </c>
      <c r="R40" s="7">
        <f t="shared" si="17"/>
        <v>-4.6471897523057031</v>
      </c>
      <c r="S40" s="7">
        <f t="shared" si="17"/>
        <v>15303.592208992526</v>
      </c>
      <c r="T40" s="7">
        <f t="shared" si="17"/>
        <v>1.6071738206644366</v>
      </c>
      <c r="U40" s="7">
        <f t="shared" si="17"/>
        <v>34.707356892506873</v>
      </c>
      <c r="V40" s="7">
        <f t="shared" ref="V40:V46" si="20">T40+U40</f>
        <v>36.314530713171308</v>
      </c>
      <c r="W40" s="7"/>
      <c r="X40" s="7">
        <f t="shared" si="17"/>
        <v>15335.660712666608</v>
      </c>
      <c r="Y40" s="7">
        <f t="shared" si="17"/>
        <v>-4.6471897523057031</v>
      </c>
      <c r="Z40" s="7">
        <f t="shared" si="17"/>
        <v>15303.592208992526</v>
      </c>
      <c r="AA40" s="7">
        <f t="shared" si="17"/>
        <v>2.0083365338681465</v>
      </c>
      <c r="AB40" s="7">
        <f t="shared" si="17"/>
        <v>34.707356892506873</v>
      </c>
      <c r="AC40" s="7">
        <f t="shared" ref="AC40:AC46" si="21">AA40+AB40</f>
        <v>36.715693426375019</v>
      </c>
      <c r="AD40" s="7"/>
      <c r="AE40" s="7">
        <f t="shared" si="17"/>
        <v>15334.878451549432</v>
      </c>
      <c r="AF40" s="7">
        <f t="shared" si="17"/>
        <v>-4.6471897523057031</v>
      </c>
      <c r="AG40" s="7">
        <f t="shared" si="17"/>
        <v>15303.592208992526</v>
      </c>
      <c r="AH40" s="7">
        <f t="shared" si="17"/>
        <v>1.6889642767545141</v>
      </c>
      <c r="AI40" s="7">
        <f t="shared" si="17"/>
        <v>34.244468032427733</v>
      </c>
      <c r="AJ40" s="7">
        <f t="shared" ref="AJ40:AJ46" si="22">AH40+AI40</f>
        <v>35.933432309182244</v>
      </c>
      <c r="AK40" s="7"/>
      <c r="AL40" s="7">
        <f t="shared" si="17"/>
        <v>15335.804229269614</v>
      </c>
      <c r="AM40" s="7">
        <f t="shared" si="17"/>
        <v>-4.6471897523057031</v>
      </c>
      <c r="AN40" s="7">
        <f t="shared" si="17"/>
        <v>15303.592208992526</v>
      </c>
      <c r="AO40" s="7">
        <f t="shared" si="17"/>
        <v>1.6889642767545141</v>
      </c>
      <c r="AP40" s="7">
        <f t="shared" si="17"/>
        <v>35.170245752586027</v>
      </c>
      <c r="AQ40" s="7"/>
      <c r="AR40" s="7">
        <f t="shared" si="17"/>
        <v>11181.416240023151</v>
      </c>
      <c r="AS40" s="7">
        <f t="shared" si="17"/>
        <v>0.61058017949868637</v>
      </c>
      <c r="AT40" s="7">
        <f t="shared" si="17"/>
        <v>11133.851132240448</v>
      </c>
      <c r="AU40" s="7">
        <f t="shared" si="17"/>
        <v>15.379044210533978</v>
      </c>
      <c r="AV40" s="7">
        <f t="shared" si="17"/>
        <v>31.575483392669518</v>
      </c>
      <c r="AW40" s="7">
        <f t="shared" ref="AW40:AW46" si="23">AU40+AV40</f>
        <v>46.954527603203495</v>
      </c>
      <c r="AX40" s="7"/>
      <c r="AY40" s="7">
        <f t="shared" si="17"/>
        <v>11181.82167250941</v>
      </c>
      <c r="AZ40" s="7">
        <f>AZ$8/$E$28+AZ$12/$E$28+AZ$13/$D$2/$E$28+AZ$17/$E$28+AZ$18/$E$28+AZ$19/$E$28</f>
        <v>0.61058017949868637</v>
      </c>
      <c r="BA40" s="7">
        <f t="shared" si="17"/>
        <v>11133.851132240448</v>
      </c>
      <c r="BB40" s="7">
        <f t="shared" si="17"/>
        <v>15.379044210533978</v>
      </c>
      <c r="BC40" s="7">
        <f t="shared" si="17"/>
        <v>31.980915878964652</v>
      </c>
      <c r="BD40" s="7">
        <f t="shared" ref="BD40:BD46" si="24">BB40+BC40</f>
        <v>47.359960089498628</v>
      </c>
      <c r="BE40" s="7"/>
      <c r="BF40" s="7">
        <f t="shared" si="17"/>
        <v>11179.189668238039</v>
      </c>
      <c r="BG40" s="7">
        <f t="shared" si="17"/>
        <v>0.61058017949868637</v>
      </c>
      <c r="BH40" s="7">
        <f t="shared" si="17"/>
        <v>11133.851132240448</v>
      </c>
      <c r="BI40" s="7">
        <f t="shared" si="17"/>
        <v>15.379078762804829</v>
      </c>
      <c r="BJ40" s="7">
        <f t="shared" si="17"/>
        <v>29.3488770553023</v>
      </c>
      <c r="BK40" s="7">
        <f t="shared" ref="BK40:BK46" si="25">BI40+BJ40</f>
        <v>44.727955818107127</v>
      </c>
      <c r="BL40" s="7"/>
      <c r="BM40" s="7"/>
      <c r="BN40" s="7"/>
      <c r="BO40" s="7">
        <f t="shared" ref="BO40:BS40" si="26">BO$8/$E$28+BO$12/$E$28+BO$13/$D$2/$E$28+BO$17/$E$28+BO$18/$E$28+BO$19/$E$28</f>
        <v>11181.01526754768</v>
      </c>
      <c r="BP40" s="7">
        <f t="shared" si="26"/>
        <v>0.29641027713189849</v>
      </c>
      <c r="BQ40" s="7">
        <f t="shared" si="26"/>
        <v>11133.851132240448</v>
      </c>
      <c r="BR40" s="7">
        <f t="shared" si="26"/>
        <v>14.990548410772783</v>
      </c>
      <c r="BS40" s="7">
        <f t="shared" si="26"/>
        <v>31.877176619334168</v>
      </c>
      <c r="BT40" s="7">
        <f t="shared" ref="BT40:BT41" si="27">BR40+BS40</f>
        <v>46.867725030106953</v>
      </c>
      <c r="BU40" s="7"/>
      <c r="BV40" s="7"/>
      <c r="BW40" s="7"/>
      <c r="BX40" s="7">
        <f t="shared" ref="BX40:BY40" si="28">BX$8/$E$28+BX$12/$E$28+BX$13/$D$2/$E$28+BX$17/$E$28+BX$18/$E$28+BX$19/$E$28</f>
        <v>2.1890742911804823E-4</v>
      </c>
      <c r="BY40" s="7">
        <f t="shared" si="28"/>
        <v>1.7935159442904118E-4</v>
      </c>
      <c r="BZ40" s="7"/>
      <c r="CA40" s="7"/>
      <c r="CB40" s="7"/>
      <c r="CC40" s="7">
        <f t="shared" ref="CC40:CG40" si="29">CC$8/$E$28+CC$12/$E$28+CC$13/$D$2/$E$28+CC$17/$E$28+CC$18/$E$28+CC$19/$E$28</f>
        <v>11176.240879009918</v>
      </c>
      <c r="CD40" s="7">
        <f t="shared" si="29"/>
        <v>0.61058017949868637</v>
      </c>
      <c r="CE40" s="7">
        <f t="shared" si="29"/>
        <v>11133.851132240448</v>
      </c>
      <c r="CF40" s="7">
        <f t="shared" si="29"/>
        <v>14.416731350040067</v>
      </c>
      <c r="CG40" s="7">
        <f t="shared" si="29"/>
        <v>27.362435239962451</v>
      </c>
      <c r="CH40" s="7">
        <f t="shared" ref="CH40:CH41" si="30">CF40+CG40</f>
        <v>41.779166590002518</v>
      </c>
      <c r="CI40" s="7"/>
      <c r="CJ40" s="7"/>
      <c r="CK40" s="7">
        <f t="shared" ref="CK40:CO40" si="31">CK$8/$E$28+CK$12/$E$28+CK$13/$D$2/$E$28+CK$17/$E$28+CK$18/$E$28+CK$19/$E$28</f>
        <v>11180.043798139763</v>
      </c>
      <c r="CL40" s="7">
        <f t="shared" si="31"/>
        <v>0.61058017949868637</v>
      </c>
      <c r="CM40" s="7">
        <f t="shared" si="31"/>
        <v>11132.176690455222</v>
      </c>
      <c r="CN40" s="7">
        <f t="shared" si="31"/>
        <v>15.379044210533978</v>
      </c>
      <c r="CO40" s="7">
        <f t="shared" si="31"/>
        <v>31.877483294502628</v>
      </c>
      <c r="CP40" s="7">
        <f t="shared" ref="CP40:CP41" si="32">CN40+CO40</f>
        <v>47.256527505036608</v>
      </c>
      <c r="CQ40" s="7"/>
      <c r="CR40" s="7"/>
      <c r="CS40" s="7">
        <f t="shared" ref="CS40:DD40" si="33">CS$8/$E$28+CS$12/$E$28+CS$13/$D$2/$E$28+CS$17/$E$28+CS$18/$E$28+CS$19/$E$28</f>
        <v>11180.708136339648</v>
      </c>
      <c r="CT40" s="7">
        <f t="shared" si="33"/>
        <v>0.61058017949868637</v>
      </c>
      <c r="CU40" s="7">
        <f t="shared" si="33"/>
        <v>11133.851132240448</v>
      </c>
      <c r="CV40" s="7">
        <f t="shared" si="33"/>
        <v>14.941263904568707</v>
      </c>
      <c r="CW40" s="7">
        <f t="shared" si="33"/>
        <v>31.305160015134074</v>
      </c>
      <c r="CX40" s="7">
        <f t="shared" ref="CX40:CX41" si="34">CV40+CW40</f>
        <v>46.246423919702778</v>
      </c>
      <c r="CY40" s="7"/>
      <c r="CZ40" s="7">
        <f t="shared" si="33"/>
        <v>11182.728412607203</v>
      </c>
      <c r="DA40" s="7">
        <f t="shared" si="33"/>
        <v>0.61058017949868637</v>
      </c>
      <c r="DB40" s="7">
        <f t="shared" si="33"/>
        <v>11133.851132240448</v>
      </c>
      <c r="DC40" s="7">
        <f t="shared" si="33"/>
        <v>15.816893621040901</v>
      </c>
      <c r="DD40" s="7">
        <f t="shared" si="33"/>
        <v>32.449806566247872</v>
      </c>
      <c r="DE40" s="7">
        <f t="shared" ref="DE40:DE41" si="35">DC40+DD40</f>
        <v>48.266700187288777</v>
      </c>
      <c r="DF40" s="7"/>
      <c r="DG40" s="7">
        <f t="shared" ref="DG40:DK40" si="36">DG$8/$E$28+DG$12/$E$28+DG$13/$D$2/$E$28+DG$17/$E$28+DG$18/$E$28+DG$19/$E$28</f>
        <v>11181.662812297609</v>
      </c>
      <c r="DH40" s="7">
        <f t="shared" si="36"/>
        <v>0.61058017949868637</v>
      </c>
      <c r="DI40" s="7">
        <f t="shared" si="36"/>
        <v>11133.851132240448</v>
      </c>
      <c r="DJ40" s="7">
        <f t="shared" si="36"/>
        <v>15.361733522677051</v>
      </c>
      <c r="DK40" s="7">
        <f t="shared" si="36"/>
        <v>31.83936635502814</v>
      </c>
      <c r="DL40" s="7">
        <f t="shared" ref="DL40:DL41" si="37">DJ40+DK40</f>
        <v>47.20109987770519</v>
      </c>
      <c r="DN40" s="7">
        <f t="shared" ref="DN40:DR40" si="38">DN$8/$E$28+DN$12/$E$28+DN$13/$D$2/$E$28+DN$17/$E$28+DN$18/$E$28+DN$19/$E$28</f>
        <v>11181.773667544659</v>
      </c>
      <c r="DO40" s="7">
        <f t="shared" si="38"/>
        <v>0.61058017949868637</v>
      </c>
      <c r="DP40" s="7">
        <f t="shared" si="38"/>
        <v>11133.851132240448</v>
      </c>
      <c r="DQ40" s="7">
        <f t="shared" si="38"/>
        <v>15.396354898390912</v>
      </c>
      <c r="DR40" s="7">
        <f t="shared" si="38"/>
        <v>31.915600226353757</v>
      </c>
      <c r="DS40" s="7">
        <f t="shared" ref="DS40:DS41" si="39">DQ40+DR40</f>
        <v>47.311955124744671</v>
      </c>
    </row>
    <row r="41" spans="1:123" x14ac:dyDescent="0.25">
      <c r="A41" s="4"/>
      <c r="B41" s="4"/>
      <c r="C41" s="4" t="s">
        <v>48</v>
      </c>
      <c r="D41" s="4">
        <f>D$9/$D$1/$E$29+D$15/$E$29</f>
        <v>22910.26894370326</v>
      </c>
      <c r="E41" s="4">
        <f t="shared" ref="E41:BJ41" si="40">E$9/$D$1/$E$29+E$15/$E$29</f>
        <v>-10.18423081222069</v>
      </c>
      <c r="F41" s="4">
        <f t="shared" si="40"/>
        <v>22856.855999214615</v>
      </c>
      <c r="G41" s="4">
        <f t="shared" si="40"/>
        <v>11.118317831865649</v>
      </c>
      <c r="H41" s="4">
        <f t="shared" si="40"/>
        <v>52.47885746899896</v>
      </c>
      <c r="I41" s="7">
        <f t="shared" si="18"/>
        <v>63.597175300864606</v>
      </c>
      <c r="J41" s="4">
        <f t="shared" si="40"/>
        <v>22934.874147272949</v>
      </c>
      <c r="K41" s="4">
        <f t="shared" si="40"/>
        <v>-16.981602339357629</v>
      </c>
      <c r="L41" s="4">
        <f t="shared" si="40"/>
        <v>22856.855999214615</v>
      </c>
      <c r="M41" s="4">
        <f t="shared" si="40"/>
        <v>7.5349879493564504</v>
      </c>
      <c r="N41" s="4">
        <f t="shared" si="40"/>
        <v>87.464762448331626</v>
      </c>
      <c r="O41" s="7">
        <f t="shared" si="19"/>
        <v>94.999750397688075</v>
      </c>
      <c r="P41" s="7"/>
      <c r="Q41" s="4">
        <f t="shared" si="40"/>
        <v>22918.750392209073</v>
      </c>
      <c r="R41" s="4">
        <f t="shared" si="40"/>
        <v>-12.563310846718633</v>
      </c>
      <c r="S41" s="4">
        <f t="shared" si="40"/>
        <v>22856.855999214615</v>
      </c>
      <c r="T41" s="4">
        <f t="shared" si="40"/>
        <v>9.7337796294365049</v>
      </c>
      <c r="U41" s="4">
        <f t="shared" si="40"/>
        <v>64.72392421176535</v>
      </c>
      <c r="V41" s="7">
        <f t="shared" si="20"/>
        <v>74.457703841201862</v>
      </c>
      <c r="W41" s="7"/>
      <c r="X41" s="4">
        <f t="shared" si="40"/>
        <v>22919.389839475072</v>
      </c>
      <c r="Y41" s="4">
        <f t="shared" si="40"/>
        <v>-12.563310846718633</v>
      </c>
      <c r="Z41" s="4">
        <f t="shared" si="40"/>
        <v>22856.855999214615</v>
      </c>
      <c r="AA41" s="4">
        <f t="shared" si="40"/>
        <v>10.373226895424285</v>
      </c>
      <c r="AB41" s="4">
        <f t="shared" si="40"/>
        <v>64.72392421176535</v>
      </c>
      <c r="AC41" s="7">
        <f t="shared" si="21"/>
        <v>75.097151107189632</v>
      </c>
      <c r="AD41" s="7"/>
      <c r="AE41" s="4">
        <f t="shared" si="40"/>
        <v>22918.311699715166</v>
      </c>
      <c r="AF41" s="4">
        <f t="shared" si="40"/>
        <v>-12.563310846718633</v>
      </c>
      <c r="AG41" s="4">
        <f t="shared" si="40"/>
        <v>22856.855999214615</v>
      </c>
      <c r="AH41" s="4">
        <f t="shared" si="40"/>
        <v>9.864152372987423</v>
      </c>
      <c r="AI41" s="4">
        <f t="shared" si="40"/>
        <v>64.154858974282917</v>
      </c>
      <c r="AJ41" s="7">
        <f t="shared" si="22"/>
        <v>74.019011347270336</v>
      </c>
      <c r="AK41" s="4"/>
      <c r="AL41" s="4">
        <f t="shared" si="40"/>
        <v>22919.449830190119</v>
      </c>
      <c r="AM41" s="4">
        <f t="shared" si="40"/>
        <v>-12.563310846718633</v>
      </c>
      <c r="AN41" s="4">
        <f t="shared" si="40"/>
        <v>22856.855999214615</v>
      </c>
      <c r="AO41" s="4">
        <f t="shared" si="40"/>
        <v>9.864152372987423</v>
      </c>
      <c r="AP41" s="4">
        <f t="shared" si="40"/>
        <v>65.292989449247784</v>
      </c>
      <c r="AQ41" s="4"/>
      <c r="AR41" s="4">
        <f t="shared" si="40"/>
        <v>16751.072202441232</v>
      </c>
      <c r="AS41" s="4">
        <f t="shared" si="40"/>
        <v>0.11847763822242156</v>
      </c>
      <c r="AT41" s="4">
        <f t="shared" si="40"/>
        <v>16630.600520827265</v>
      </c>
      <c r="AU41" s="4">
        <f t="shared" si="40"/>
        <v>40.017273311621786</v>
      </c>
      <c r="AV41" s="4">
        <f t="shared" si="40"/>
        <v>80.335930664121847</v>
      </c>
      <c r="AW41" s="7">
        <f t="shared" si="23"/>
        <v>120.35320397574364</v>
      </c>
      <c r="AX41" s="7"/>
      <c r="AY41" s="4">
        <f t="shared" si="40"/>
        <v>16752.047916037787</v>
      </c>
      <c r="AZ41" s="4">
        <f>AZ$9/$D$1/$E$29+AZ$15/$E$29</f>
        <v>0.11847763822242156</v>
      </c>
      <c r="BA41" s="4">
        <f t="shared" si="40"/>
        <v>16630.600520827265</v>
      </c>
      <c r="BB41" s="4">
        <f t="shared" si="40"/>
        <v>40.017273311621786</v>
      </c>
      <c r="BC41" s="4">
        <f t="shared" si="40"/>
        <v>81.311644260687885</v>
      </c>
      <c r="BD41" s="7">
        <f t="shared" si="24"/>
        <v>121.32891757230968</v>
      </c>
      <c r="BE41" s="7"/>
      <c r="BF41" s="4">
        <f t="shared" si="40"/>
        <v>16750.606369079997</v>
      </c>
      <c r="BG41" s="4">
        <f t="shared" si="40"/>
        <v>0.11847763822242156</v>
      </c>
      <c r="BH41" s="4">
        <f t="shared" si="40"/>
        <v>16630.600520827265</v>
      </c>
      <c r="BI41" s="4">
        <f t="shared" si="40"/>
        <v>40.017274101503993</v>
      </c>
      <c r="BJ41" s="4">
        <f t="shared" si="40"/>
        <v>79.870096512986066</v>
      </c>
      <c r="BK41" s="7">
        <f t="shared" si="25"/>
        <v>119.88737061449007</v>
      </c>
      <c r="BL41" s="4"/>
      <c r="BM41" s="4"/>
      <c r="BN41" s="4"/>
      <c r="BO41" s="4">
        <f t="shared" ref="BO41:BS41" si="41">BO$9/$D$1/$E$29+BO$15/$E$29</f>
        <v>16753.186852070761</v>
      </c>
      <c r="BP41" s="4">
        <f t="shared" si="41"/>
        <v>0.11838789258459009</v>
      </c>
      <c r="BQ41" s="4">
        <f t="shared" si="41"/>
        <v>16630.600520827265</v>
      </c>
      <c r="BR41" s="4">
        <f t="shared" si="41"/>
        <v>41.405975944268725</v>
      </c>
      <c r="BS41" s="4">
        <f t="shared" si="41"/>
        <v>81.061967406645721</v>
      </c>
      <c r="BT41" s="7">
        <f t="shared" si="27"/>
        <v>122.46794335091445</v>
      </c>
      <c r="BU41" s="4"/>
      <c r="BV41" s="4"/>
      <c r="BW41" s="4"/>
      <c r="BX41" s="4">
        <f>BX$9/$D$1/$E$29+BX$15/$E$29</f>
        <v>3.035851111420312E-6</v>
      </c>
      <c r="BY41" s="4">
        <f>BY$9/$D$1/$E$29+BY$15/$E$29</f>
        <v>1.2973796277275846E-4</v>
      </c>
      <c r="BZ41" s="4"/>
      <c r="CA41" s="4"/>
      <c r="CB41" s="4"/>
      <c r="CC41" s="4">
        <f t="shared" ref="CC41:CG41" si="42">CC$9/$D$1/$E$29+CC$15/$E$29</f>
        <v>16740.511519951418</v>
      </c>
      <c r="CD41" s="4">
        <f t="shared" si="42"/>
        <v>0.11847763822242156</v>
      </c>
      <c r="CE41" s="4">
        <f t="shared" si="42"/>
        <v>16630.600520827265</v>
      </c>
      <c r="CF41" s="4">
        <f t="shared" si="42"/>
        <v>40.06934729664809</v>
      </c>
      <c r="CG41" s="4">
        <f t="shared" si="42"/>
        <v>69.723174189293573</v>
      </c>
      <c r="CH41" s="7">
        <f t="shared" si="30"/>
        <v>109.79252148594166</v>
      </c>
      <c r="CI41" s="4"/>
      <c r="CJ41" s="4"/>
      <c r="CK41" s="4">
        <f t="shared" ref="CK41:CO41" si="43">CK$9/$D$1/$E$29+CK$15/$E$29</f>
        <v>16747.788891660912</v>
      </c>
      <c r="CL41" s="4">
        <f t="shared" si="43"/>
        <v>0.11847763822242156</v>
      </c>
      <c r="CM41" s="4">
        <f t="shared" si="43"/>
        <v>16626.590417250765</v>
      </c>
      <c r="CN41" s="4">
        <f t="shared" si="43"/>
        <v>40.017273311621786</v>
      </c>
      <c r="CO41" s="4">
        <f t="shared" si="43"/>
        <v>81.062723460310764</v>
      </c>
      <c r="CP41" s="7">
        <f t="shared" si="32"/>
        <v>121.07999677193254</v>
      </c>
      <c r="CQ41" s="4"/>
      <c r="CR41" s="4"/>
      <c r="CS41" s="4">
        <f t="shared" ref="CS41:DD41" si="44">CS$9/$D$1/$E$29+CS$15/$E$29</f>
        <v>16749.65320065893</v>
      </c>
      <c r="CT41" s="4">
        <f t="shared" si="44"/>
        <v>0.11847763822242156</v>
      </c>
      <c r="CU41" s="4">
        <f t="shared" si="44"/>
        <v>16630.600520827265</v>
      </c>
      <c r="CV41" s="4">
        <f t="shared" si="44"/>
        <v>40.011202399281267</v>
      </c>
      <c r="CW41" s="4">
        <f t="shared" si="44"/>
        <v>78.922999794153242</v>
      </c>
      <c r="CX41" s="7">
        <f t="shared" si="34"/>
        <v>118.93420219343452</v>
      </c>
      <c r="CY41" s="4"/>
      <c r="CZ41" s="4">
        <f t="shared" si="44"/>
        <v>16753.944791387246</v>
      </c>
      <c r="DA41" s="4">
        <f t="shared" si="44"/>
        <v>0.11847763822242156</v>
      </c>
      <c r="DB41" s="4">
        <f t="shared" si="44"/>
        <v>16630.600520827265</v>
      </c>
      <c r="DC41" s="4">
        <f t="shared" si="44"/>
        <v>40.02334580372672</v>
      </c>
      <c r="DD41" s="4">
        <f t="shared" si="44"/>
        <v>83.202447118040709</v>
      </c>
      <c r="DE41" s="7">
        <f t="shared" si="35"/>
        <v>123.22579292176744</v>
      </c>
      <c r="DF41" s="7"/>
      <c r="DG41" s="4">
        <f t="shared" ref="DG41:DK41" si="45">DG$9/$D$1/$E$29+DG$15/$E$29</f>
        <v>16751.756463501548</v>
      </c>
      <c r="DH41" s="4">
        <f t="shared" si="45"/>
        <v>0.11847763822242156</v>
      </c>
      <c r="DI41" s="4">
        <f t="shared" si="45"/>
        <v>16630.600520827265</v>
      </c>
      <c r="DJ41" s="4">
        <f t="shared" si="45"/>
        <v>40.016877580562962</v>
      </c>
      <c r="DK41" s="4">
        <f t="shared" si="45"/>
        <v>81.020587455493441</v>
      </c>
      <c r="DL41" s="7">
        <f t="shared" si="37"/>
        <v>121.0374650360564</v>
      </c>
      <c r="DN41" s="4">
        <f t="shared" ref="DN41:DR41" si="46">DN$9/$D$1/$E$29+DN$15/$E$29</f>
        <v>16751.84152696485</v>
      </c>
      <c r="DO41" s="4">
        <f t="shared" si="46"/>
        <v>0.11847763822242156</v>
      </c>
      <c r="DP41" s="4">
        <f t="shared" si="46"/>
        <v>16630.600520827265</v>
      </c>
      <c r="DQ41" s="4">
        <f t="shared" si="46"/>
        <v>40.017669042680289</v>
      </c>
      <c r="DR41" s="4">
        <f t="shared" si="46"/>
        <v>81.10485945670051</v>
      </c>
      <c r="DS41" s="7">
        <f t="shared" si="39"/>
        <v>121.12252849938079</v>
      </c>
    </row>
    <row r="42" spans="1:123" x14ac:dyDescent="0.25">
      <c r="A42" s="4"/>
      <c r="B42" s="4"/>
      <c r="C42" s="4"/>
      <c r="D42" s="4"/>
      <c r="E42" s="4"/>
      <c r="F42" s="4"/>
      <c r="G42" s="4"/>
      <c r="H42" s="4"/>
      <c r="I42" s="7"/>
      <c r="J42" s="4"/>
      <c r="K42" s="4"/>
      <c r="L42" s="4"/>
      <c r="M42" s="4"/>
      <c r="N42" s="4"/>
      <c r="O42" s="7"/>
      <c r="P42" s="7"/>
      <c r="Q42" s="4"/>
      <c r="R42" s="4"/>
      <c r="S42" s="4"/>
      <c r="T42" s="4"/>
      <c r="U42" s="4"/>
      <c r="V42" s="7"/>
      <c r="W42" s="7"/>
      <c r="X42" s="4"/>
      <c r="Y42" s="4"/>
      <c r="Z42" s="4"/>
      <c r="AA42" s="4"/>
      <c r="AB42" s="4"/>
      <c r="AC42" s="7"/>
      <c r="AD42" s="7"/>
      <c r="AE42" s="4"/>
      <c r="AF42" s="4"/>
      <c r="AG42" s="4"/>
      <c r="AH42" s="4"/>
      <c r="AI42" s="4"/>
      <c r="AJ42" s="7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7"/>
      <c r="AX42" s="7"/>
      <c r="AY42" s="4"/>
      <c r="AZ42" s="4"/>
      <c r="BA42" s="4"/>
      <c r="BB42" s="4"/>
      <c r="BC42" s="4"/>
      <c r="BD42" s="7"/>
      <c r="BE42" s="7"/>
      <c r="BF42" s="4"/>
      <c r="BG42" s="4"/>
      <c r="BH42" s="4"/>
      <c r="BI42" s="4"/>
      <c r="BJ42" s="4"/>
      <c r="BK42" s="7"/>
      <c r="BL42" s="4"/>
      <c r="BM42" s="4"/>
      <c r="BN42" s="4"/>
      <c r="BO42" s="4"/>
      <c r="BP42" s="4"/>
      <c r="BQ42" s="4"/>
      <c r="BR42" s="4"/>
      <c r="BS42" s="4"/>
      <c r="BT42" s="7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7"/>
      <c r="CI42" s="4"/>
      <c r="CJ42" s="4"/>
      <c r="CK42" s="4"/>
      <c r="CL42" s="4"/>
      <c r="CM42" s="4"/>
      <c r="CN42" s="4"/>
      <c r="CO42" s="4"/>
      <c r="CP42" s="7"/>
      <c r="CQ42" s="4"/>
      <c r="CR42" s="4"/>
      <c r="CS42" s="4"/>
      <c r="CT42" s="4"/>
      <c r="CU42" s="4"/>
      <c r="CV42" s="4"/>
      <c r="CW42" s="4"/>
      <c r="CX42" s="7"/>
      <c r="CY42" s="4"/>
      <c r="CZ42" s="4"/>
      <c r="DA42" s="4"/>
      <c r="DB42" s="4"/>
      <c r="DC42" s="4"/>
      <c r="DD42" s="4"/>
      <c r="DE42" s="7"/>
      <c r="DF42" s="7"/>
      <c r="DG42" s="4"/>
      <c r="DH42" s="4"/>
      <c r="DI42" s="4"/>
      <c r="DJ42" s="4"/>
      <c r="DK42" s="4"/>
      <c r="DL42" s="7"/>
      <c r="DN42" s="4"/>
      <c r="DO42" s="4"/>
      <c r="DP42" s="4"/>
      <c r="DQ42" s="4"/>
      <c r="DR42" s="4"/>
      <c r="DS42" s="7"/>
    </row>
    <row r="43" spans="1:123" x14ac:dyDescent="0.25">
      <c r="A43" s="4"/>
      <c r="B43" s="4"/>
      <c r="C43" s="4"/>
      <c r="D43" s="4"/>
      <c r="E43" s="4"/>
      <c r="F43" s="4"/>
      <c r="G43" s="4"/>
      <c r="H43" s="4"/>
      <c r="I43" s="7"/>
      <c r="J43" s="4"/>
      <c r="K43" s="4"/>
      <c r="L43" s="4"/>
      <c r="M43" s="4"/>
      <c r="N43" s="4"/>
      <c r="O43" s="7"/>
      <c r="P43" s="7"/>
      <c r="Q43" s="4"/>
      <c r="R43" s="4"/>
      <c r="S43" s="4"/>
      <c r="T43" s="4"/>
      <c r="U43" s="4"/>
      <c r="V43" s="7"/>
      <c r="W43" s="7"/>
      <c r="X43" s="4"/>
      <c r="Y43" s="4"/>
      <c r="Z43" s="4"/>
      <c r="AA43" s="4"/>
      <c r="AB43" s="4"/>
      <c r="AC43" s="7"/>
      <c r="AD43" s="7"/>
      <c r="AE43" s="4"/>
      <c r="AF43" s="4"/>
      <c r="AG43" s="4"/>
      <c r="AH43" s="4"/>
      <c r="AI43" s="4"/>
      <c r="AJ43" s="7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7"/>
      <c r="AX43" s="7"/>
      <c r="AY43" s="4"/>
      <c r="AZ43" s="4"/>
      <c r="BA43" s="4"/>
      <c r="BB43" s="4"/>
      <c r="BC43" s="4"/>
      <c r="BD43" s="7"/>
      <c r="BE43" s="7"/>
      <c r="BF43" s="4"/>
      <c r="BG43" s="4"/>
      <c r="BH43" s="4"/>
      <c r="BI43" s="4"/>
      <c r="BJ43" s="4"/>
      <c r="BK43" s="7"/>
      <c r="BL43" s="4"/>
      <c r="BM43" s="4"/>
      <c r="BN43" s="4"/>
      <c r="BO43" s="4"/>
      <c r="BP43" s="4"/>
      <c r="BQ43" s="4"/>
      <c r="BR43" s="4"/>
      <c r="BS43" s="4"/>
      <c r="BT43" s="7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7"/>
      <c r="CI43" s="4"/>
      <c r="CJ43" s="4"/>
      <c r="CK43" s="4"/>
      <c r="CL43" s="4"/>
      <c r="CM43" s="4"/>
      <c r="CN43" s="4"/>
      <c r="CO43" s="4"/>
      <c r="CP43" s="7"/>
      <c r="CQ43" s="4"/>
      <c r="CR43" s="4"/>
      <c r="CS43" s="4"/>
      <c r="CT43" s="4"/>
      <c r="CU43" s="4"/>
      <c r="CV43" s="4"/>
      <c r="CW43" s="4"/>
      <c r="CX43" s="7"/>
      <c r="CY43" s="4"/>
      <c r="CZ43" s="4"/>
      <c r="DA43" s="4"/>
      <c r="DB43" s="4"/>
      <c r="DC43" s="4"/>
      <c r="DD43" s="4"/>
      <c r="DE43" s="7"/>
      <c r="DF43" s="7"/>
      <c r="DG43" s="4"/>
      <c r="DH43" s="4"/>
      <c r="DI43" s="4"/>
      <c r="DJ43" s="4"/>
      <c r="DK43" s="4"/>
      <c r="DL43" s="7"/>
      <c r="DN43" s="4"/>
      <c r="DO43" s="4"/>
      <c r="DP43" s="4"/>
      <c r="DQ43" s="4"/>
      <c r="DR43" s="4"/>
      <c r="DS43" s="7"/>
    </row>
    <row r="44" spans="1:123" x14ac:dyDescent="0.25">
      <c r="A44" s="4"/>
      <c r="B44" s="4"/>
      <c r="C44" s="5" t="s">
        <v>42</v>
      </c>
      <c r="D44" s="7">
        <f>D39*$F$33</f>
        <v>2454763.4830050301</v>
      </c>
      <c r="E44" s="7">
        <f t="shared" ref="E44:AY44" si="47">E39*$F$33</f>
        <v>-870.75177678645446</v>
      </c>
      <c r="F44" s="7">
        <f t="shared" si="47"/>
        <v>2449292.8523893305</v>
      </c>
      <c r="G44" s="7">
        <f t="shared" si="47"/>
        <v>293.96084659176034</v>
      </c>
      <c r="H44" s="7">
        <f t="shared" si="47"/>
        <v>6047.4215458939252</v>
      </c>
      <c r="I44" s="7">
        <f t="shared" si="18"/>
        <v>6341.3823924856852</v>
      </c>
      <c r="J44" s="7">
        <f t="shared" si="47"/>
        <v>2457909.7534496859</v>
      </c>
      <c r="K44" s="7">
        <f t="shared" si="47"/>
        <v>-1452.0208933839031</v>
      </c>
      <c r="L44" s="7">
        <f t="shared" si="47"/>
        <v>2449292.8523893305</v>
      </c>
      <c r="M44" s="7">
        <f t="shared" si="47"/>
        <v>-10.113956083333495</v>
      </c>
      <c r="N44" s="7">
        <f t="shared" si="47"/>
        <v>10079.035909823218</v>
      </c>
      <c r="O44" s="7">
        <f t="shared" si="19"/>
        <v>10068.921953739886</v>
      </c>
      <c r="P44" s="7"/>
      <c r="Q44" s="7">
        <f t="shared" si="47"/>
        <v>2455850.0184793826</v>
      </c>
      <c r="R44" s="7">
        <f t="shared" si="47"/>
        <v>-1074.1959675955607</v>
      </c>
      <c r="S44" s="7">
        <f t="shared" si="47"/>
        <v>2449292.8523893305</v>
      </c>
      <c r="T44" s="7">
        <f t="shared" si="47"/>
        <v>172.87548437969292</v>
      </c>
      <c r="U44" s="7">
        <f t="shared" si="47"/>
        <v>7458.4865732691778</v>
      </c>
      <c r="V44" s="7">
        <f t="shared" si="20"/>
        <v>7631.3620576488711</v>
      </c>
      <c r="W44" s="7"/>
      <c r="X44" s="7">
        <f t="shared" si="47"/>
        <v>2455921.9182732617</v>
      </c>
      <c r="Y44" s="7">
        <f t="shared" si="47"/>
        <v>-1074.1959675955607</v>
      </c>
      <c r="Z44" s="7">
        <f t="shared" si="47"/>
        <v>2449292.8523893305</v>
      </c>
      <c r="AA44" s="7">
        <f t="shared" si="47"/>
        <v>244.77527825616315</v>
      </c>
      <c r="AB44" s="7">
        <f t="shared" si="47"/>
        <v>7458.4865732691778</v>
      </c>
      <c r="AC44" s="7">
        <f t="shared" si="21"/>
        <v>7703.2618515253407</v>
      </c>
      <c r="AD44" s="7"/>
      <c r="AE44" s="7">
        <f t="shared" si="47"/>
        <v>2455803.5175819974</v>
      </c>
      <c r="AF44" s="7">
        <f t="shared" si="47"/>
        <v>-1074.1959675955607</v>
      </c>
      <c r="AG44" s="7">
        <f t="shared" si="47"/>
        <v>2449292.8523893305</v>
      </c>
      <c r="AH44" s="7">
        <f t="shared" si="47"/>
        <v>187.53466565547802</v>
      </c>
      <c r="AI44" s="7">
        <f t="shared" si="47"/>
        <v>7397.3264946059826</v>
      </c>
      <c r="AJ44" s="7">
        <f t="shared" si="22"/>
        <v>7584.861160261461</v>
      </c>
      <c r="AK44" s="7"/>
      <c r="AL44" s="7">
        <f t="shared" si="47"/>
        <v>-77456372087789.375</v>
      </c>
      <c r="AM44" s="7">
        <f t="shared" si="47"/>
        <v>33799869360.146225</v>
      </c>
      <c r="AN44" s="7">
        <f t="shared" si="47"/>
        <v>-77323162616292.922</v>
      </c>
      <c r="AO44" s="7">
        <f t="shared" si="47"/>
        <v>-10103224508.04023</v>
      </c>
      <c r="AP44" s="7">
        <f t="shared" si="47"/>
        <v>-156906116347.98956</v>
      </c>
      <c r="AQ44" s="7"/>
      <c r="AR44" s="7">
        <f t="shared" si="47"/>
        <v>1792121.8803401391</v>
      </c>
      <c r="AS44" s="7">
        <f t="shared" si="47"/>
        <v>58.545998197826222</v>
      </c>
      <c r="AT44" s="7">
        <f t="shared" si="47"/>
        <v>1782000.278619709</v>
      </c>
      <c r="AU44" s="7">
        <f t="shared" si="47"/>
        <v>3609.1977195239851</v>
      </c>
      <c r="AV44" s="7">
        <f t="shared" si="47"/>
        <v>6453.8580027082662</v>
      </c>
      <c r="AW44" s="7">
        <f t="shared" si="23"/>
        <v>10063.055722232251</v>
      </c>
      <c r="AX44" s="7"/>
      <c r="AY44" s="7">
        <f t="shared" si="47"/>
        <v>1792215.614404636</v>
      </c>
      <c r="AZ44" s="7">
        <f>AZ39*$F$33</f>
        <v>58.545998197826222</v>
      </c>
      <c r="BA44" s="7">
        <f t="shared" ref="BA44:BC44" si="48">BA39*$F$33</f>
        <v>1782000.278619709</v>
      </c>
      <c r="BB44" s="7">
        <f t="shared" si="48"/>
        <v>3609.1977195239851</v>
      </c>
      <c r="BC44" s="7">
        <f t="shared" si="48"/>
        <v>6547.5920672061893</v>
      </c>
      <c r="BD44" s="7">
        <f t="shared" si="24"/>
        <v>10156.789786730174</v>
      </c>
      <c r="BE44" s="7"/>
      <c r="BF44" s="7">
        <f t="shared" ref="BF44:CW44" si="49">BF39*$F$33</f>
        <v>1792566.1840306309</v>
      </c>
      <c r="BG44" s="7">
        <f t="shared" si="49"/>
        <v>58.545998197826222</v>
      </c>
      <c r="BH44" s="7">
        <f t="shared" si="49"/>
        <v>1782000.278619709</v>
      </c>
      <c r="BI44" s="7">
        <f t="shared" si="49"/>
        <v>3609.2063249966932</v>
      </c>
      <c r="BJ44" s="7">
        <f t="shared" si="49"/>
        <v>6898.1530877270461</v>
      </c>
      <c r="BK44" s="7">
        <f t="shared" si="25"/>
        <v>10507.359412723739</v>
      </c>
      <c r="BL44" s="7"/>
      <c r="BM44" s="7"/>
      <c r="BN44" s="7"/>
      <c r="BO44" s="7">
        <f t="shared" ref="BO44:BS44" si="50">BO39*$F$33</f>
        <v>1792057.1078491993</v>
      </c>
      <c r="BP44" s="7">
        <f t="shared" si="50"/>
        <v>35.142582476153386</v>
      </c>
      <c r="BQ44" s="7">
        <f t="shared" si="50"/>
        <v>1782000.278619709</v>
      </c>
      <c r="BR44" s="7">
        <f t="shared" si="50"/>
        <v>3498.077169191245</v>
      </c>
      <c r="BS44" s="7">
        <f t="shared" si="50"/>
        <v>6523.6094778227325</v>
      </c>
      <c r="BT44" s="7">
        <f t="shared" ref="BT44:BT46" si="51">BR44+BS44</f>
        <v>10021.686647013978</v>
      </c>
      <c r="BU44" s="7"/>
      <c r="BV44" s="7"/>
      <c r="BW44" s="7"/>
      <c r="BX44" s="7">
        <f t="shared" ref="BX44:BY44" si="52">BX39*$F$33</f>
        <v>5.2557491274180849E-2</v>
      </c>
      <c r="BY44" s="7">
        <f t="shared" si="52"/>
        <v>4.1317047993011849E-2</v>
      </c>
      <c r="BZ44" s="7"/>
      <c r="CA44" s="7"/>
      <c r="CB44" s="7"/>
      <c r="CC44" s="7">
        <f t="shared" ref="CC44:CG44" si="53">CC39*$F$33</f>
        <v>1791101.4098301977</v>
      </c>
      <c r="CD44" s="7">
        <f t="shared" si="53"/>
        <v>58.545998197826222</v>
      </c>
      <c r="CE44" s="7">
        <f t="shared" si="53"/>
        <v>1782000.278619709</v>
      </c>
      <c r="CF44" s="7">
        <f t="shared" si="53"/>
        <v>3380.0204673876328</v>
      </c>
      <c r="CG44" s="7">
        <f t="shared" si="53"/>
        <v>5662.5647449029029</v>
      </c>
      <c r="CH44" s="7">
        <f t="shared" ref="CH44:CH46" si="54">CF44+CG44</f>
        <v>9042.5852122905362</v>
      </c>
      <c r="CI44" s="7"/>
      <c r="CJ44" s="7"/>
      <c r="CK44" s="7">
        <f t="shared" ref="CK44:CO44" si="55">CK39*$F$33</f>
        <v>1791862.0544407438</v>
      </c>
      <c r="CL44" s="7">
        <f t="shared" si="55"/>
        <v>58.545998197826222</v>
      </c>
      <c r="CM44" s="7">
        <f t="shared" si="55"/>
        <v>1781670.6317779045</v>
      </c>
      <c r="CN44" s="7">
        <f t="shared" si="55"/>
        <v>3609.1977195239851</v>
      </c>
      <c r="CO44" s="7">
        <f t="shared" si="55"/>
        <v>6523.6789451183595</v>
      </c>
      <c r="CP44" s="7">
        <f t="shared" ref="CP44:CP46" si="56">CN44+CO44</f>
        <v>10132.876664642345</v>
      </c>
      <c r="CQ44" s="7"/>
      <c r="CR44" s="7"/>
      <c r="CS44" s="7">
        <f t="shared" si="49"/>
        <v>1791963.1514596748</v>
      </c>
      <c r="CT44" s="7">
        <f t="shared" si="49"/>
        <v>58.545998197826222</v>
      </c>
      <c r="CU44" s="7">
        <f t="shared" si="49"/>
        <v>1782000.278619709</v>
      </c>
      <c r="CV44" s="7">
        <f t="shared" si="49"/>
        <v>3504.0913424483178</v>
      </c>
      <c r="CW44" s="7">
        <f t="shared" si="49"/>
        <v>6400.2354993209265</v>
      </c>
      <c r="CX44" s="7">
        <f t="shared" ref="CX44:CX46" si="57">CV44+CW44</f>
        <v>9904.3268417692452</v>
      </c>
      <c r="CY44" s="7"/>
      <c r="CZ44" s="7">
        <f t="shared" ref="CZ44:DD44" si="58">CZ39*$F$33</f>
        <v>1792420.2682990278</v>
      </c>
      <c r="DA44" s="7">
        <f t="shared" si="58"/>
        <v>58.545998197826222</v>
      </c>
      <c r="DB44" s="7">
        <f t="shared" si="58"/>
        <v>1782000.278619709</v>
      </c>
      <c r="DC44" s="7">
        <f t="shared" si="58"/>
        <v>3714.3213075450476</v>
      </c>
      <c r="DD44" s="7">
        <f t="shared" si="58"/>
        <v>6647.1223735773365</v>
      </c>
      <c r="DE44" s="7">
        <f t="shared" ref="DE44:DE46" si="59">DC44+DD44</f>
        <v>10361.443681122384</v>
      </c>
      <c r="DF44" s="7"/>
      <c r="DG44" s="7">
        <f t="shared" ref="DG44:DK44" si="60">DG39*$F$33</f>
        <v>1792100.6976026129</v>
      </c>
      <c r="DH44" s="7">
        <f t="shared" si="60"/>
        <v>58.545998197826222</v>
      </c>
      <c r="DI44" s="7">
        <f t="shared" si="60"/>
        <v>1782000.278619709</v>
      </c>
      <c r="DJ44" s="7">
        <f t="shared" si="60"/>
        <v>3604.8863776561752</v>
      </c>
      <c r="DK44" s="7">
        <f t="shared" si="60"/>
        <v>6436.9866070501503</v>
      </c>
      <c r="DL44" s="7">
        <f t="shared" ref="DL44:DL46" si="61">DJ44+DK44</f>
        <v>10041.872984706326</v>
      </c>
      <c r="DN44" s="7">
        <f t="shared" ref="DN44:DR44" si="62">DN39*$F$33</f>
        <v>1792282.7049451454</v>
      </c>
      <c r="DO44" s="7">
        <f t="shared" si="62"/>
        <v>58.545998197826222</v>
      </c>
      <c r="DP44" s="7">
        <f t="shared" si="62"/>
        <v>1782000.278619709</v>
      </c>
      <c r="DQ44" s="7">
        <f t="shared" si="62"/>
        <v>3613.5090613917937</v>
      </c>
      <c r="DR44" s="7">
        <f t="shared" si="62"/>
        <v>6610.3712658481145</v>
      </c>
      <c r="DS44" s="7">
        <f t="shared" ref="DS44:DS46" si="63">DQ44+DR44</f>
        <v>10223.880327239909</v>
      </c>
    </row>
    <row r="45" spans="1:123" x14ac:dyDescent="0.25">
      <c r="A45" s="4"/>
      <c r="B45" s="4"/>
      <c r="C45" s="5" t="s">
        <v>43</v>
      </c>
      <c r="D45" s="7">
        <f>D40*$F$34</f>
        <v>4599033.4468147336</v>
      </c>
      <c r="E45" s="7">
        <f t="shared" ref="E45:AY45" si="64">E40*$F$34</f>
        <v>-1130.0860541590246</v>
      </c>
      <c r="F45" s="7">
        <f t="shared" si="64"/>
        <v>4591077.6626977576</v>
      </c>
      <c r="G45" s="7">
        <f t="shared" si="64"/>
        <v>643.54011619902587</v>
      </c>
      <c r="H45" s="7">
        <f t="shared" si="64"/>
        <v>8442.3300549341075</v>
      </c>
      <c r="I45" s="7">
        <f t="shared" si="18"/>
        <v>9085.8701711331341</v>
      </c>
      <c r="J45" s="7">
        <f t="shared" si="64"/>
        <v>4603516.1762664858</v>
      </c>
      <c r="K45" s="7">
        <f t="shared" si="64"/>
        <v>-1884.5742585381288</v>
      </c>
      <c r="L45" s="7">
        <f t="shared" si="64"/>
        <v>4591077.6626977576</v>
      </c>
      <c r="M45" s="7">
        <f t="shared" si="64"/>
        <v>252.53773570567714</v>
      </c>
      <c r="N45" s="7">
        <f t="shared" si="64"/>
        <v>14070.550091556837</v>
      </c>
      <c r="O45" s="7">
        <f t="shared" si="19"/>
        <v>14323.087827262514</v>
      </c>
      <c r="P45" s="7"/>
      <c r="Q45" s="7">
        <f t="shared" si="64"/>
        <v>4600577.8649860108</v>
      </c>
      <c r="R45" s="7">
        <f t="shared" si="64"/>
        <v>-1394.156925691711</v>
      </c>
      <c r="S45" s="7">
        <f t="shared" si="64"/>
        <v>4591077.6626977576</v>
      </c>
      <c r="T45" s="7">
        <f t="shared" si="64"/>
        <v>482.15214619933096</v>
      </c>
      <c r="U45" s="7">
        <f t="shared" si="64"/>
        <v>10412.207067752062</v>
      </c>
      <c r="V45" s="7">
        <f t="shared" si="20"/>
        <v>10894.359213951393</v>
      </c>
      <c r="W45" s="7"/>
      <c r="X45" s="7">
        <f t="shared" si="64"/>
        <v>4600698.2137999823</v>
      </c>
      <c r="Y45" s="7">
        <f t="shared" si="64"/>
        <v>-1394.156925691711</v>
      </c>
      <c r="Z45" s="7">
        <f t="shared" si="64"/>
        <v>4591077.6626977576</v>
      </c>
      <c r="AA45" s="7">
        <f t="shared" si="64"/>
        <v>602.50096016044392</v>
      </c>
      <c r="AB45" s="7">
        <f t="shared" si="64"/>
        <v>10412.207067752062</v>
      </c>
      <c r="AC45" s="7">
        <f t="shared" si="21"/>
        <v>11014.708027912506</v>
      </c>
      <c r="AD45" s="7"/>
      <c r="AE45" s="7">
        <f t="shared" si="64"/>
        <v>4600463.5354648298</v>
      </c>
      <c r="AF45" s="7">
        <f t="shared" si="64"/>
        <v>-1394.156925691711</v>
      </c>
      <c r="AG45" s="7">
        <f t="shared" si="64"/>
        <v>4591077.6626977576</v>
      </c>
      <c r="AH45" s="7">
        <f t="shared" si="64"/>
        <v>506.68928302635425</v>
      </c>
      <c r="AI45" s="7">
        <f t="shared" si="64"/>
        <v>10273.34040972832</v>
      </c>
      <c r="AJ45" s="7">
        <f t="shared" si="22"/>
        <v>10780.029692754675</v>
      </c>
      <c r="AK45" s="7"/>
      <c r="AL45" s="7">
        <f t="shared" si="64"/>
        <v>4600741.2687808843</v>
      </c>
      <c r="AM45" s="7">
        <f t="shared" si="64"/>
        <v>-1394.156925691711</v>
      </c>
      <c r="AN45" s="7">
        <f t="shared" si="64"/>
        <v>4591077.6626977576</v>
      </c>
      <c r="AO45" s="7">
        <f t="shared" si="64"/>
        <v>506.68928302635425</v>
      </c>
      <c r="AP45" s="7">
        <f t="shared" si="64"/>
        <v>10551.073725775808</v>
      </c>
      <c r="AQ45" s="7"/>
      <c r="AR45" s="7">
        <f t="shared" si="64"/>
        <v>3354424.8720069453</v>
      </c>
      <c r="AS45" s="7">
        <f t="shared" si="64"/>
        <v>183.17405384960591</v>
      </c>
      <c r="AT45" s="7">
        <f t="shared" si="64"/>
        <v>3340155.3396721347</v>
      </c>
      <c r="AU45" s="7">
        <f t="shared" si="64"/>
        <v>4613.7132631601935</v>
      </c>
      <c r="AV45" s="7">
        <f t="shared" si="64"/>
        <v>9472.6450178008563</v>
      </c>
      <c r="AW45" s="7">
        <f t="shared" si="23"/>
        <v>14086.358280961049</v>
      </c>
      <c r="AX45" s="7"/>
      <c r="AY45" s="7">
        <f t="shared" si="64"/>
        <v>3354546.5017528231</v>
      </c>
      <c r="AZ45" s="7">
        <f>AZ40*$F$34</f>
        <v>183.17405384960591</v>
      </c>
      <c r="BA45" s="7">
        <f t="shared" ref="BA45:BC45" si="65">BA40*$F$34</f>
        <v>3340155.3396721347</v>
      </c>
      <c r="BB45" s="7">
        <f t="shared" si="65"/>
        <v>4613.7132631601935</v>
      </c>
      <c r="BC45" s="7">
        <f t="shared" si="65"/>
        <v>9594.2747636893946</v>
      </c>
      <c r="BD45" s="7">
        <f t="shared" si="24"/>
        <v>14207.988026849587</v>
      </c>
      <c r="BE45" s="7"/>
      <c r="BF45" s="7">
        <f t="shared" ref="BF45:CW45" si="66">BF40*$F$34</f>
        <v>3353756.9004714116</v>
      </c>
      <c r="BG45" s="7">
        <f t="shared" si="66"/>
        <v>183.17405384960591</v>
      </c>
      <c r="BH45" s="7">
        <f t="shared" si="66"/>
        <v>3340155.3396721347</v>
      </c>
      <c r="BI45" s="7">
        <f t="shared" si="66"/>
        <v>4613.7236288414488</v>
      </c>
      <c r="BJ45" s="7">
        <f t="shared" si="66"/>
        <v>8804.6631165906892</v>
      </c>
      <c r="BK45" s="7">
        <f t="shared" si="25"/>
        <v>13418.386745432137</v>
      </c>
      <c r="BL45" s="7"/>
      <c r="BM45" s="7"/>
      <c r="BN45" s="7"/>
      <c r="BO45" s="7">
        <f t="shared" ref="BO45:BS45" si="67">BO40*$F$34</f>
        <v>3354304.5802643038</v>
      </c>
      <c r="BP45" s="7">
        <f t="shared" si="67"/>
        <v>88.923083139569542</v>
      </c>
      <c r="BQ45" s="7">
        <f t="shared" si="67"/>
        <v>3340155.3396721347</v>
      </c>
      <c r="BR45" s="7">
        <f t="shared" si="67"/>
        <v>4497.1645232318351</v>
      </c>
      <c r="BS45" s="7">
        <f t="shared" si="67"/>
        <v>9563.1529858002505</v>
      </c>
      <c r="BT45" s="7">
        <f t="shared" si="51"/>
        <v>14060.317509032086</v>
      </c>
      <c r="BU45" s="7"/>
      <c r="BV45" s="7"/>
      <c r="BW45" s="7"/>
      <c r="BX45" s="7">
        <f t="shared" ref="BX45:BY45" si="68">BX40*$F$34</f>
        <v>6.5672228735414465E-2</v>
      </c>
      <c r="BY45" s="7">
        <f t="shared" si="68"/>
        <v>5.3805478328712353E-2</v>
      </c>
      <c r="BZ45" s="7"/>
      <c r="CA45" s="7"/>
      <c r="CB45" s="7"/>
      <c r="CC45" s="7">
        <f t="shared" ref="CC45:CG45" si="69">CC40*$F$34</f>
        <v>3352872.2637029756</v>
      </c>
      <c r="CD45" s="7">
        <f t="shared" si="69"/>
        <v>183.17405384960591</v>
      </c>
      <c r="CE45" s="7">
        <f t="shared" si="69"/>
        <v>3340155.3396721347</v>
      </c>
      <c r="CF45" s="7">
        <f t="shared" si="69"/>
        <v>4325.0194050120199</v>
      </c>
      <c r="CG45" s="7">
        <f t="shared" si="69"/>
        <v>8208.7305719887354</v>
      </c>
      <c r="CH45" s="7">
        <f t="shared" si="54"/>
        <v>12533.749977000756</v>
      </c>
      <c r="CI45" s="7"/>
      <c r="CJ45" s="7"/>
      <c r="CK45" s="7">
        <f t="shared" ref="CK45:CO45" si="70">CK40*$F$34</f>
        <v>3354013.1394419288</v>
      </c>
      <c r="CL45" s="7">
        <f t="shared" si="70"/>
        <v>183.17405384960591</v>
      </c>
      <c r="CM45" s="7">
        <f t="shared" si="70"/>
        <v>3339653.0071365666</v>
      </c>
      <c r="CN45" s="7">
        <f t="shared" si="70"/>
        <v>4613.7132631601935</v>
      </c>
      <c r="CO45" s="7">
        <f t="shared" si="70"/>
        <v>9563.2449883507888</v>
      </c>
      <c r="CP45" s="7">
        <f t="shared" si="56"/>
        <v>14176.958251510983</v>
      </c>
      <c r="CQ45" s="7"/>
      <c r="CR45" s="7"/>
      <c r="CS45" s="7">
        <f t="shared" si="66"/>
        <v>3354212.4409018946</v>
      </c>
      <c r="CT45" s="7">
        <f t="shared" si="66"/>
        <v>183.17405384960591</v>
      </c>
      <c r="CU45" s="7">
        <f t="shared" si="66"/>
        <v>3340155.3396721347</v>
      </c>
      <c r="CV45" s="7">
        <f t="shared" si="66"/>
        <v>4482.3791713706123</v>
      </c>
      <c r="CW45" s="7">
        <f t="shared" si="66"/>
        <v>9391.5480045402219</v>
      </c>
      <c r="CX45" s="7">
        <f t="shared" si="57"/>
        <v>13873.927175910834</v>
      </c>
      <c r="CY45" s="7"/>
      <c r="CZ45" s="7">
        <f t="shared" ref="CZ45:DD45" si="71">CZ40*$F$34</f>
        <v>3354818.5237821606</v>
      </c>
      <c r="DA45" s="7">
        <f t="shared" si="71"/>
        <v>183.17405384960591</v>
      </c>
      <c r="DB45" s="7">
        <f t="shared" si="71"/>
        <v>3340155.3396721347</v>
      </c>
      <c r="DC45" s="7">
        <f t="shared" si="71"/>
        <v>4745.0680863122707</v>
      </c>
      <c r="DD45" s="7">
        <f t="shared" si="71"/>
        <v>9734.9419698743623</v>
      </c>
      <c r="DE45" s="7">
        <f t="shared" si="59"/>
        <v>14480.010056186633</v>
      </c>
      <c r="DF45" s="7"/>
      <c r="DG45" s="7">
        <f t="shared" ref="DG45:DK45" si="72">DG40*$F$34</f>
        <v>3354498.8436892829</v>
      </c>
      <c r="DH45" s="7">
        <f t="shared" si="72"/>
        <v>183.17405384960591</v>
      </c>
      <c r="DI45" s="7">
        <f t="shared" si="72"/>
        <v>3340155.3396721347</v>
      </c>
      <c r="DJ45" s="7">
        <f t="shared" si="72"/>
        <v>4608.520056803115</v>
      </c>
      <c r="DK45" s="7">
        <f t="shared" si="72"/>
        <v>9551.8099065084425</v>
      </c>
      <c r="DL45" s="7">
        <f t="shared" si="61"/>
        <v>14160.329963311557</v>
      </c>
      <c r="DN45" s="7">
        <f t="shared" ref="DN45:DR45" si="73">DN40*$F$34</f>
        <v>3354532.1002633977</v>
      </c>
      <c r="DO45" s="7">
        <f t="shared" si="73"/>
        <v>183.17405384960591</v>
      </c>
      <c r="DP45" s="7">
        <f t="shared" si="73"/>
        <v>3340155.3396721347</v>
      </c>
      <c r="DQ45" s="7">
        <f t="shared" si="73"/>
        <v>4618.9064695172738</v>
      </c>
      <c r="DR45" s="7">
        <f t="shared" si="73"/>
        <v>9574.6800679061271</v>
      </c>
      <c r="DS45" s="7">
        <f t="shared" si="63"/>
        <v>14193.586537423402</v>
      </c>
    </row>
    <row r="46" spans="1:123" x14ac:dyDescent="0.25">
      <c r="A46" s="4"/>
      <c r="B46" s="4"/>
      <c r="C46" s="5" t="s">
        <v>44</v>
      </c>
      <c r="D46" s="7">
        <f>D41*$F$35</f>
        <v>6873080.6831109785</v>
      </c>
      <c r="E46" s="7">
        <f t="shared" ref="E46:AY46" si="74">E41*$F$35</f>
        <v>-3055.2692436662069</v>
      </c>
      <c r="F46" s="7">
        <f t="shared" si="74"/>
        <v>6857056.7997643845</v>
      </c>
      <c r="G46" s="7">
        <f t="shared" si="74"/>
        <v>3335.4953495596947</v>
      </c>
      <c r="H46" s="7">
        <f t="shared" si="74"/>
        <v>15743.657240699687</v>
      </c>
      <c r="I46" s="7">
        <f t="shared" si="18"/>
        <v>19079.152590259382</v>
      </c>
      <c r="J46" s="7">
        <f t="shared" si="74"/>
        <v>6880462.2441818845</v>
      </c>
      <c r="K46" s="7">
        <f t="shared" si="74"/>
        <v>-5094.4807018072888</v>
      </c>
      <c r="L46" s="7">
        <f t="shared" si="74"/>
        <v>6857056.7997643845</v>
      </c>
      <c r="M46" s="7">
        <f t="shared" si="74"/>
        <v>2260.4963848069351</v>
      </c>
      <c r="N46" s="7">
        <f t="shared" si="74"/>
        <v>26239.428734499488</v>
      </c>
      <c r="O46" s="7">
        <f t="shared" si="19"/>
        <v>28499.925119306423</v>
      </c>
      <c r="P46" s="7"/>
      <c r="Q46" s="7">
        <f t="shared" si="74"/>
        <v>6875625.1176627222</v>
      </c>
      <c r="R46" s="7">
        <f t="shared" si="74"/>
        <v>-3768.9932540155896</v>
      </c>
      <c r="S46" s="7">
        <f t="shared" si="74"/>
        <v>6857056.7997643845</v>
      </c>
      <c r="T46" s="7">
        <f t="shared" si="74"/>
        <v>2920.1338888309515</v>
      </c>
      <c r="U46" s="7">
        <f t="shared" si="74"/>
        <v>19417.177263529604</v>
      </c>
      <c r="V46" s="7">
        <f t="shared" si="20"/>
        <v>22337.311152360555</v>
      </c>
      <c r="W46" s="7"/>
      <c r="X46" s="7">
        <f t="shared" si="74"/>
        <v>6875816.9518425213</v>
      </c>
      <c r="Y46" s="7">
        <f t="shared" si="74"/>
        <v>-3768.9932540155896</v>
      </c>
      <c r="Z46" s="7">
        <f t="shared" si="74"/>
        <v>6857056.7997643845</v>
      </c>
      <c r="AA46" s="7">
        <f t="shared" si="74"/>
        <v>3111.9680686272854</v>
      </c>
      <c r="AB46" s="7">
        <f t="shared" si="74"/>
        <v>19417.177263529604</v>
      </c>
      <c r="AC46" s="7">
        <f t="shared" si="21"/>
        <v>22529.145332156888</v>
      </c>
      <c r="AD46" s="7"/>
      <c r="AE46" s="7">
        <f t="shared" si="74"/>
        <v>6875493.50991455</v>
      </c>
      <c r="AF46" s="7">
        <f t="shared" si="74"/>
        <v>-3768.9932540155896</v>
      </c>
      <c r="AG46" s="7">
        <f t="shared" si="74"/>
        <v>6857056.7997643845</v>
      </c>
      <c r="AH46" s="7">
        <f t="shared" si="74"/>
        <v>2959.245711896227</v>
      </c>
      <c r="AI46" s="7">
        <f t="shared" si="74"/>
        <v>19246.457692284876</v>
      </c>
      <c r="AJ46" s="7">
        <f t="shared" si="22"/>
        <v>22205.703404181102</v>
      </c>
      <c r="AK46" s="7"/>
      <c r="AL46" s="7">
        <f t="shared" si="74"/>
        <v>6875834.9490570351</v>
      </c>
      <c r="AM46" s="7">
        <f t="shared" si="74"/>
        <v>-3768.9932540155896</v>
      </c>
      <c r="AN46" s="7">
        <f t="shared" si="74"/>
        <v>6857056.7997643845</v>
      </c>
      <c r="AO46" s="7">
        <f t="shared" si="74"/>
        <v>2959.245711896227</v>
      </c>
      <c r="AP46" s="7">
        <f t="shared" si="74"/>
        <v>19587.896834774336</v>
      </c>
      <c r="AQ46" s="7"/>
      <c r="AR46" s="7">
        <f t="shared" si="74"/>
        <v>5025321.6607323699</v>
      </c>
      <c r="AS46" s="7">
        <f t="shared" si="74"/>
        <v>35.543291466726473</v>
      </c>
      <c r="AT46" s="7">
        <f t="shared" si="74"/>
        <v>4989180.1562481793</v>
      </c>
      <c r="AU46" s="7">
        <f t="shared" si="74"/>
        <v>12005.181993486536</v>
      </c>
      <c r="AV46" s="7">
        <f t="shared" si="74"/>
        <v>24100.779199236553</v>
      </c>
      <c r="AW46" s="7">
        <f t="shared" si="23"/>
        <v>36105.961192723087</v>
      </c>
      <c r="AX46" s="7"/>
      <c r="AY46" s="7">
        <f t="shared" si="74"/>
        <v>5025614.3748113364</v>
      </c>
      <c r="AZ46" s="7">
        <f>AZ41*$F$35</f>
        <v>35.543291466726473</v>
      </c>
      <c r="BA46" s="7">
        <f t="shared" ref="BA46:BC46" si="75">BA41*$F$35</f>
        <v>4989180.1562481793</v>
      </c>
      <c r="BB46" s="7">
        <f t="shared" si="75"/>
        <v>12005.181993486536</v>
      </c>
      <c r="BC46" s="7">
        <f t="shared" si="75"/>
        <v>24393.493278206366</v>
      </c>
      <c r="BD46" s="7">
        <f t="shared" si="24"/>
        <v>36398.675271692904</v>
      </c>
      <c r="BE46" s="7"/>
      <c r="BF46" s="7">
        <f t="shared" ref="BF46:CW46" si="76">BF41*$F$35</f>
        <v>5025181.9107239991</v>
      </c>
      <c r="BG46" s="7">
        <f t="shared" si="76"/>
        <v>35.543291466726473</v>
      </c>
      <c r="BH46" s="7">
        <f t="shared" si="76"/>
        <v>4989180.1562481793</v>
      </c>
      <c r="BI46" s="7">
        <f t="shared" si="76"/>
        <v>12005.182230451199</v>
      </c>
      <c r="BJ46" s="7">
        <f t="shared" si="76"/>
        <v>23961.02895389582</v>
      </c>
      <c r="BK46" s="7">
        <f t="shared" si="25"/>
        <v>35966.211184347019</v>
      </c>
      <c r="BL46" s="7"/>
      <c r="BM46" s="7"/>
      <c r="BN46" s="7"/>
      <c r="BO46" s="7">
        <f t="shared" ref="BO46:BS46" si="77">BO41*$F$35</f>
        <v>5025956.0556212282</v>
      </c>
      <c r="BP46" s="7">
        <f t="shared" si="77"/>
        <v>35.516367775377027</v>
      </c>
      <c r="BQ46" s="7">
        <f t="shared" si="77"/>
        <v>4989180.1562481793</v>
      </c>
      <c r="BR46" s="7">
        <f t="shared" si="77"/>
        <v>12421.792783280618</v>
      </c>
      <c r="BS46" s="7">
        <f t="shared" si="77"/>
        <v>24318.590221993716</v>
      </c>
      <c r="BT46" s="7">
        <f t="shared" si="51"/>
        <v>36740.383005274336</v>
      </c>
      <c r="BU46" s="7"/>
      <c r="BV46" s="7"/>
      <c r="BW46" s="7"/>
      <c r="BX46" s="7">
        <f t="shared" ref="BX46:BY46" si="78">BX41*$F$35</f>
        <v>9.1075533342609356E-4</v>
      </c>
      <c r="BY46" s="7">
        <f t="shared" si="78"/>
        <v>3.8921388831827539E-2</v>
      </c>
      <c r="BZ46" s="7"/>
      <c r="CA46" s="7"/>
      <c r="CB46" s="7"/>
      <c r="CC46" s="7">
        <f t="shared" ref="CC46:CG46" si="79">CC41*$F$35</f>
        <v>5022153.455985426</v>
      </c>
      <c r="CD46" s="7">
        <f t="shared" si="79"/>
        <v>35.543291466726473</v>
      </c>
      <c r="CE46" s="7">
        <f t="shared" si="79"/>
        <v>4989180.1562481793</v>
      </c>
      <c r="CF46" s="7">
        <f t="shared" si="79"/>
        <v>12020.804188994427</v>
      </c>
      <c r="CG46" s="7">
        <f t="shared" si="79"/>
        <v>20916.95225678807</v>
      </c>
      <c r="CH46" s="7">
        <f t="shared" si="54"/>
        <v>32937.756445782499</v>
      </c>
      <c r="CI46" s="7">
        <f t="shared" si="76"/>
        <v>0</v>
      </c>
      <c r="CJ46" s="7">
        <f t="shared" si="76"/>
        <v>0</v>
      </c>
      <c r="CK46" s="7">
        <f t="shared" si="76"/>
        <v>5024336.6674982738</v>
      </c>
      <c r="CL46" s="7">
        <f t="shared" si="76"/>
        <v>35.543291466726473</v>
      </c>
      <c r="CM46" s="7">
        <f t="shared" si="76"/>
        <v>4987977.1251752293</v>
      </c>
      <c r="CN46" s="7">
        <f t="shared" si="76"/>
        <v>12005.181993486536</v>
      </c>
      <c r="CO46" s="7">
        <f t="shared" si="76"/>
        <v>24318.817038093228</v>
      </c>
      <c r="CP46" s="7">
        <f t="shared" si="56"/>
        <v>36323.999031579762</v>
      </c>
      <c r="CQ46" s="7"/>
      <c r="CR46" s="7"/>
      <c r="CS46" s="7">
        <f t="shared" si="76"/>
        <v>5024895.9601976788</v>
      </c>
      <c r="CT46" s="7">
        <f t="shared" si="76"/>
        <v>35.543291466726473</v>
      </c>
      <c r="CU46" s="7">
        <f t="shared" si="76"/>
        <v>4989180.1562481793</v>
      </c>
      <c r="CV46" s="7">
        <f t="shared" si="76"/>
        <v>12003.360719784379</v>
      </c>
      <c r="CW46" s="7">
        <f t="shared" si="76"/>
        <v>23676.899938245973</v>
      </c>
      <c r="CX46" s="7">
        <f t="shared" si="57"/>
        <v>35680.260658030355</v>
      </c>
      <c r="CY46" s="7"/>
      <c r="CZ46" s="7">
        <f t="shared" ref="CZ46:DD46" si="80">CZ41*$F$35</f>
        <v>5026183.4374161735</v>
      </c>
      <c r="DA46" s="7">
        <f t="shared" si="80"/>
        <v>35.543291466726473</v>
      </c>
      <c r="DB46" s="7">
        <f t="shared" si="80"/>
        <v>4989180.1562481793</v>
      </c>
      <c r="DC46" s="7">
        <f t="shared" si="80"/>
        <v>12007.003741118016</v>
      </c>
      <c r="DD46" s="7">
        <f t="shared" si="80"/>
        <v>24960.734135412211</v>
      </c>
      <c r="DE46" s="7">
        <f t="shared" si="59"/>
        <v>36967.737876530227</v>
      </c>
      <c r="DF46" s="7"/>
      <c r="DG46" s="7">
        <f t="shared" ref="DG46:DK46" si="81">DG41*$F$35</f>
        <v>5025526.939050464</v>
      </c>
      <c r="DH46" s="7">
        <f t="shared" si="81"/>
        <v>35.543291466726473</v>
      </c>
      <c r="DI46" s="7">
        <f t="shared" si="81"/>
        <v>4989180.1562481793</v>
      </c>
      <c r="DJ46" s="7">
        <f t="shared" si="81"/>
        <v>12005.063274168888</v>
      </c>
      <c r="DK46" s="7">
        <f t="shared" si="81"/>
        <v>24306.176236648032</v>
      </c>
      <c r="DL46" s="7">
        <f t="shared" si="61"/>
        <v>36311.239510816922</v>
      </c>
      <c r="DN46" s="7">
        <f t="shared" ref="DN46:DR46" si="82">DN41*$F$35</f>
        <v>5025552.458089455</v>
      </c>
      <c r="DO46" s="7">
        <f t="shared" si="82"/>
        <v>35.543291466726473</v>
      </c>
      <c r="DP46" s="7">
        <f t="shared" si="82"/>
        <v>4989180.1562481793</v>
      </c>
      <c r="DQ46" s="7">
        <f t="shared" si="82"/>
        <v>12005.300712804086</v>
      </c>
      <c r="DR46" s="7">
        <f t="shared" si="82"/>
        <v>24331.457837010152</v>
      </c>
      <c r="DS46" s="7">
        <f t="shared" si="63"/>
        <v>36336.758549814236</v>
      </c>
    </row>
    <row r="47" spans="1:123" s="10" customFormat="1" x14ac:dyDescent="0.25"/>
    <row r="48" spans="1:123" x14ac:dyDescent="0.25">
      <c r="A48" t="s">
        <v>131</v>
      </c>
      <c r="C48" t="str">
        <f>C44</f>
        <v>Ecosystems</v>
      </c>
      <c r="D48" s="18">
        <f>(D44-Altotaleco)/Altotaleco</f>
        <v>-4.4839386536507051E-4</v>
      </c>
      <c r="E48" s="18">
        <f>(E44-Alteofeco)/Alteofeco</f>
        <v>-0.18939206340951728</v>
      </c>
      <c r="F48" s="18">
        <f>(F44-Altoperationeco)/Altoperationeco</f>
        <v>0</v>
      </c>
      <c r="G48" s="18">
        <f>(G44-Altproductioneco)/Altproductioneco</f>
        <v>0.56750137668839862</v>
      </c>
      <c r="H48" s="18">
        <f>(H44-Altraweco)/Altraweco</f>
        <v>-0.18918918918918956</v>
      </c>
      <c r="I48" s="18">
        <f>(I44-AlconstrucEco)/AlconstrucEco</f>
        <v>-0.17062977013420619</v>
      </c>
      <c r="J48" s="18">
        <f>(J44-Altotaleco)/Altotaleco</f>
        <v>8.3273146424909161E-4</v>
      </c>
      <c r="K48" s="18">
        <f>(K44-Alteofeco)/Alteofeco</f>
        <v>0.35172811776053425</v>
      </c>
      <c r="L48" s="18">
        <f>(L44-Altoperationeco)/Altoperationeco</f>
        <v>0</v>
      </c>
      <c r="M48" s="36">
        <f>(M44-Altproductioneco)/Altproductioneco</f>
        <v>-1.0539311281356054</v>
      </c>
      <c r="N48" s="18">
        <f>(N44-Altraweco)/Altraweco</f>
        <v>0.35135135135135204</v>
      </c>
      <c r="O48" s="18">
        <f>(O44-AlconstrucEco)/AlconstrucEco</f>
        <v>0.31688385882066766</v>
      </c>
      <c r="P48" s="18"/>
      <c r="Q48" s="18">
        <f>(Q44-Altotaleco)/Altotaleco</f>
        <v>-5.9690509052116323E-6</v>
      </c>
      <c r="R48" s="18">
        <f>(R44-Alteofeco)/Alteofeco</f>
        <v>0</v>
      </c>
      <c r="S48" s="18">
        <f>(S44-Altoperationeco)/Altoperationeco</f>
        <v>0</v>
      </c>
      <c r="T48" s="18">
        <f>(T44-Altproductioneco)/Altproductioneco</f>
        <v>-7.8167848192481085E-2</v>
      </c>
      <c r="U48" s="18">
        <f>(U44-Altraweco)/Altraweco</f>
        <v>0</v>
      </c>
      <c r="V48" s="18">
        <f>(V44-AlconstrucEco)/AlconstrucEco</f>
        <v>-1.9172299968458701E-3</v>
      </c>
      <c r="W48" s="18"/>
      <c r="X48" s="18">
        <f>(X44-Altotaleco)/Altotaleco</f>
        <v>2.3307722580376883E-5</v>
      </c>
      <c r="Y48" s="18">
        <f>(Y44-Alteofeco)/Alteofeco</f>
        <v>0</v>
      </c>
      <c r="Z48" s="18">
        <f>(Z44-Altoperationeco)/Altoperationeco</f>
        <v>0</v>
      </c>
      <c r="AA48" s="18">
        <f>(AA44-Altproductioneco)/Altproductioneco</f>
        <v>0.30522683579921422</v>
      </c>
      <c r="AB48" s="18">
        <f>(AB44-Altraweco)/Altraweco</f>
        <v>0</v>
      </c>
      <c r="AC48" s="18">
        <f>(AC44-AlconstrucEco)/AlconstrucEco</f>
        <v>7.4863266543493167E-3</v>
      </c>
      <c r="AD48" s="18"/>
      <c r="AE48" s="18">
        <f>(AE44-Altotaleco)/Altotaleco</f>
        <v>-2.4903684318920135E-5</v>
      </c>
      <c r="AF48" s="18">
        <f>(AF44-Alteofeco)/Alteofeco</f>
        <v>0</v>
      </c>
      <c r="AG48" s="18">
        <f>(AG44-Altoperationeco)/Altoperationeco</f>
        <v>0</v>
      </c>
      <c r="AH48" s="18">
        <f>(AH44-Altproductioneco)/Altproductioneco</f>
        <v>0</v>
      </c>
      <c r="AI48" s="18">
        <f>(AI44-Altraweco)/Altraweco</f>
        <v>-8.2000655310408045E-3</v>
      </c>
      <c r="AJ48" s="18">
        <f>(AJ44-AlconstrucEco)/AlconstrucEco</f>
        <v>-7.998941770111883E-3</v>
      </c>
      <c r="AL48" s="18">
        <f>(AL44-Altotaleco)/Altotaleco</f>
        <v>-31539349.561163653</v>
      </c>
      <c r="AM48" s="18">
        <f>(AM44-Alteofeco)/Alteofeco</f>
        <v>-31465273.985340435</v>
      </c>
      <c r="AN48" s="18">
        <f>(AN44-Altoperationeco)/Altoperationeco</f>
        <v>-31569587.519987904</v>
      </c>
      <c r="AO48" s="18">
        <f>(AO44-Altproductioneco)/Altproductioneco</f>
        <v>-53873904.647238076</v>
      </c>
      <c r="AP48" s="18">
        <f>(AP44-Altraweco)/Altraweco</f>
        <v>-21037260.342978884</v>
      </c>
      <c r="AQ48" s="18"/>
      <c r="AR48" s="18">
        <f>(AR44-CFtotaleco)/CFtotaleco</f>
        <v>-3.8958586178912432E-5</v>
      </c>
      <c r="AS48" s="18">
        <f>(AS44-CFeofeco)/CFeofeco</f>
        <v>0</v>
      </c>
      <c r="AT48" s="18">
        <f>(AT44-CFeofoperationeco)/CFeofoperationeco</f>
        <v>0</v>
      </c>
      <c r="AU48" s="18">
        <f>(AU44-CFproductionEco)/CFproductionEco</f>
        <v>0</v>
      </c>
      <c r="AV48" s="18">
        <f>(AV44-CFrawEco)/CFrawEco</f>
        <v>-1.070274182716897E-2</v>
      </c>
      <c r="AW48" s="18">
        <f>(AW44-CFconstructionECo)/CFconstructionECo</f>
        <v>-6.8905657312181958E-3</v>
      </c>
      <c r="AX48" s="18"/>
      <c r="AY48" s="18">
        <f>(AY44-CFtotaleco)/CFtotaleco</f>
        <v>1.334277444752077E-5</v>
      </c>
      <c r="AZ48" s="18">
        <f>(AZ44-CFeofeco)/CFeofeco</f>
        <v>0</v>
      </c>
      <c r="BA48" s="18">
        <f>(BA44-CFeofoperationeco)/CFeofoperationeco</f>
        <v>0</v>
      </c>
      <c r="BB48" s="18">
        <f>(BB44-CFproductionEco)/CFproductionEco</f>
        <v>0</v>
      </c>
      <c r="BC48" s="18">
        <f>(BC44-CFrawEco)/CFrawEco</f>
        <v>3.6655403640843062E-3</v>
      </c>
      <c r="BD48" s="18">
        <f>(BD44-CFconstructionECo)/CFconstructionECo</f>
        <v>2.3599230203830424E-3</v>
      </c>
      <c r="BE48" s="18"/>
      <c r="BF48" s="18">
        <f>(BF44-CFtotaleco)/CFtotaleco</f>
        <v>2.089522205145308E-4</v>
      </c>
      <c r="BG48" s="18">
        <f>(BG44-CFeofeco)/CFeofeco</f>
        <v>0</v>
      </c>
      <c r="BH48" s="18">
        <f>(BH44-CFeofoperationeco)/CFeofoperationeco</f>
        <v>0</v>
      </c>
      <c r="BI48" s="18">
        <f>(BI44-CFproductionEco)/CFproductionEco</f>
        <v>2.3843173405240533E-6</v>
      </c>
      <c r="BJ48" s="18">
        <f>(BJ44-CFrawEco)/CFrawEco</f>
        <v>5.7402244251591572E-2</v>
      </c>
      <c r="BK48" s="18">
        <f>(BK44-CFconstructionECo)/CFconstructionECo</f>
        <v>3.695716788837209E-2</v>
      </c>
      <c r="BO48" s="18">
        <f>(BO44-CFtotaleco)/CFtotaleco</f>
        <v>-7.5100083141641598E-5</v>
      </c>
      <c r="BP48" s="18">
        <f>(BP44-CFeofeco)/CFeofeco</f>
        <v>-0.39974407204729823</v>
      </c>
      <c r="BQ48" s="18">
        <f>(BQ44-CFeofoperationeco)/CFeofoperationeco</f>
        <v>0</v>
      </c>
      <c r="BR48" s="18">
        <f>(BR44-CFproductionEco)/CFproductionEco</f>
        <v>-3.0788158191398757E-2</v>
      </c>
      <c r="BS48" s="18">
        <f>(BS44-CFrawEco)/CFrawEco</f>
        <v>-1.0696378493920349E-5</v>
      </c>
      <c r="BT48" s="18">
        <f>(BT44-CFconstructionECo)/CFconstructionECo</f>
        <v>-1.097322412249351E-2</v>
      </c>
      <c r="BX48" s="18"/>
      <c r="CC48" s="18">
        <f>(CC44-CFtotaleco)/CFtotaleco</f>
        <v>-6.0835666398123111E-4</v>
      </c>
      <c r="CD48" s="18">
        <f>(CD44-CFeofeco)/CFeofeco</f>
        <v>0</v>
      </c>
      <c r="CE48" s="18">
        <f>(CE44-CFeofoperationeco)/CFeofoperationeco</f>
        <v>0</v>
      </c>
      <c r="CF48" s="18">
        <f>(CF44-CFproductionEco)/CFproductionEco</f>
        <v>-6.3498115078765585E-2</v>
      </c>
      <c r="CG48" s="18">
        <f>(CG44-CFrawEco)/CFrawEco</f>
        <v>-0.13199829094352578</v>
      </c>
      <c r="CH48" s="18">
        <f>(CH44-CFconstructionECo)/CFconstructionECo</f>
        <v>-0.10759942780948407</v>
      </c>
      <c r="CK48" s="18">
        <f>(CK44-CFtotaleco)/CFtotaleco</f>
        <v>-1.8393520847001903E-4</v>
      </c>
      <c r="CL48" s="18">
        <f>(CL44-CFeofeco)/CFeofeco</f>
        <v>0</v>
      </c>
      <c r="CM48" s="18">
        <f>(CM44-CFeofoperationeco)/CFeofoperationeco</f>
        <v>-1.8498697545649815E-4</v>
      </c>
      <c r="CN48" s="18">
        <f>(CN44-CFproductionEco)/CFproductionEco</f>
        <v>0</v>
      </c>
      <c r="CO48" s="18">
        <f>(CO44-CFrawEco)/CFrawEco</f>
        <v>-4.789427446615009E-8</v>
      </c>
      <c r="CP48" s="18">
        <f>(CP44-CFconstructionECo)/CFconstructionECo</f>
        <v>-3.083496309349229E-8</v>
      </c>
      <c r="CS48" s="18">
        <f>(CS44-CFtotaleco)/CFtotaleco</f>
        <v>-1.2752549580307174E-4</v>
      </c>
      <c r="CT48" s="18">
        <f>(CT44-CFeofeco)/CFeofeco</f>
        <v>0</v>
      </c>
      <c r="CU48" s="18">
        <f>(CU44-CFeofoperationeco)/CFeofoperationeco</f>
        <v>0</v>
      </c>
      <c r="CV48" s="18">
        <f>(CV44-CFproductionEco)/CFproductionEco</f>
        <v>-2.912181189384374E-2</v>
      </c>
      <c r="CW48" s="18">
        <f>(CW44-CFrawEco)/CFrawEco</f>
        <v>-1.8922413774583601E-2</v>
      </c>
      <c r="CX48" s="18">
        <f>(CX44-CFconstructionECo)/CFconstructionECo</f>
        <v>-2.2555305451427702E-2</v>
      </c>
      <c r="CZ48" s="18">
        <f>(CZ44-CFtotaleco)/CFtotaleco</f>
        <v>1.2753474074761388E-4</v>
      </c>
      <c r="DA48" s="18">
        <f>(DA44-CFeofeco)/CFeofeco</f>
        <v>0</v>
      </c>
      <c r="DB48" s="18">
        <f>(DB44-CFeofoperationeco)/CFeofoperationeco</f>
        <v>0</v>
      </c>
      <c r="DC48" s="18">
        <f>(DC44-CFproductionEco)/CFproductionEco</f>
        <v>2.9126580528518992E-2</v>
      </c>
      <c r="DD48" s="18">
        <f>(DD44-CFrawEco)/CFrawEco</f>
        <v>1.8922315328262065E-2</v>
      </c>
      <c r="DE48" s="18">
        <f>(DE44-CFconstructionECo)/CFconstructionECo</f>
        <v>2.2556940595444774E-2</v>
      </c>
      <c r="DF48" s="18"/>
      <c r="DG48" s="18">
        <f>(DG44-CFtotaleco)/CFtotaleco</f>
        <v>-5.0778045842406593E-5</v>
      </c>
      <c r="DH48" s="18">
        <f>(DH44-CFeofeco)/CFeofeco</f>
        <v>0</v>
      </c>
      <c r="DI48" s="18">
        <f>(DI44-CFeofoperationeco)/CFeofoperationeco</f>
        <v>0</v>
      </c>
      <c r="DJ48" s="18">
        <f>(DJ44-CFproductionEco)/CFproductionEco</f>
        <v>-1.1945429989849753E-3</v>
      </c>
      <c r="DK48" s="18">
        <f>(DK44-CFrawEco)/CFrawEco</f>
        <v>-1.3288919809256438E-2</v>
      </c>
      <c r="DL48" s="18">
        <f>(DL44-CFconstructionECo)/CFconstructionECo</f>
        <v>-8.9810616065574764E-3</v>
      </c>
      <c r="DN48" s="18">
        <f>(DN44-CFtotaleco)/CFtotaleco</f>
        <v>5.0777687492665239E-5</v>
      </c>
      <c r="DO48" s="18">
        <f>(DO44-CFeofeco)/CFeofeco</f>
        <v>0</v>
      </c>
      <c r="DP48" s="18">
        <f>(DP44-CFeofoperationeco)/CFeofoperationeco</f>
        <v>0</v>
      </c>
      <c r="DQ48" s="18">
        <f>(DQ44-CFproductionEco)/CFproductionEco</f>
        <v>1.1945429989845973E-3</v>
      </c>
      <c r="DR48" s="18">
        <f>(DR44-CFrawEco)/CFrawEco</f>
        <v>1.3288821362935178E-2</v>
      </c>
      <c r="DS48" s="18">
        <f>(DS44-CFconstructionECo)/CFconstructionECo</f>
        <v>8.9809982255225646E-3</v>
      </c>
    </row>
    <row r="49" spans="1:123" x14ac:dyDescent="0.25">
      <c r="C49" t="str">
        <f t="shared" ref="C49:C50" si="83">C45</f>
        <v>Human health</v>
      </c>
      <c r="D49" s="18">
        <f>(D45-Altotalhuman)/Altotalhuman</f>
        <v>-3.4103258029527441E-4</v>
      </c>
      <c r="E49" s="18">
        <f>(E45-Alteofhuman)/Alteofhuman</f>
        <v>-0.18941258811425954</v>
      </c>
      <c r="F49" s="18">
        <f>(F45-Altoperationhuman)/Altoperationhuman</f>
        <v>0</v>
      </c>
      <c r="G49" s="18">
        <f>(G45-Altproductionhuman)/Altproductionhuman</f>
        <v>0.27008827255095835</v>
      </c>
      <c r="H49" s="18">
        <f>(H45-Altrawhuman)/Altrawhuman</f>
        <v>-0.18918918918918892</v>
      </c>
      <c r="I49" s="18">
        <f>(I45-AlconstrucHuman)/AlconstrucHuman</f>
        <v>-0.16787650699831067</v>
      </c>
      <c r="J49" s="18">
        <f>(J45-Altotalhuman)/Altotalhuman</f>
        <v>6.3334622055128765E-4</v>
      </c>
      <c r="K49" s="18">
        <f>(K45-Alteofhuman)/Alteofhuman</f>
        <v>0.35176623506933929</v>
      </c>
      <c r="L49" s="18">
        <f>(L45-Altoperationhuman)/Altoperationhuman</f>
        <v>0</v>
      </c>
      <c r="M49" s="36">
        <f>(M45-Altproductionhuman)/Altproductionhuman</f>
        <v>-0.50159250616606788</v>
      </c>
      <c r="N49" s="18">
        <f>(N45-Altrawhuman)/Altrawhuman</f>
        <v>0.35135135135135098</v>
      </c>
      <c r="O49" s="18">
        <f>(O45-AlconstrucHuman)/AlconstrucHuman</f>
        <v>0.31177065585400593</v>
      </c>
      <c r="P49" s="18"/>
      <c r="Q49" s="18">
        <f>(Q45-Altotalhuman)/Altotalhuman</f>
        <v>-5.3334617266640401E-6</v>
      </c>
      <c r="R49" s="18">
        <f>(R45-Alteofhuman)/Alteofhuman</f>
        <v>0</v>
      </c>
      <c r="S49" s="18">
        <f>(S45-Altoperationhuman)/Altoperationhuman</f>
        <v>0</v>
      </c>
      <c r="T49" s="18">
        <f>(T45-Altproductionhuman)/Altproductionhuman</f>
        <v>-4.8426397891164888E-2</v>
      </c>
      <c r="U49" s="18">
        <f>(U45-Altrawhuman)/Altrawhuman</f>
        <v>0</v>
      </c>
      <c r="V49" s="18">
        <f>(V45-AlconstrucHuman)/AlconstrucHuman</f>
        <v>-2.2472176709758106E-3</v>
      </c>
      <c r="W49" s="18"/>
      <c r="X49" s="18">
        <f>(X45-Altotalhuman)/Altotalhuman</f>
        <v>2.0825898168460211E-5</v>
      </c>
      <c r="Y49" s="18">
        <f>(Y45-Alteofhuman)/Alteofhuman</f>
        <v>0</v>
      </c>
      <c r="Z49" s="18">
        <f>(Z45-Altoperationhuman)/Altoperationhuman</f>
        <v>0</v>
      </c>
      <c r="AA49" s="18">
        <f>(AA45-Altproductionhuman)/Altproductionhuman</f>
        <v>0.1890935536702604</v>
      </c>
      <c r="AB49" s="18">
        <f>(AB45-Altrawhuman)/Altrawhuman</f>
        <v>0</v>
      </c>
      <c r="AC49" s="18">
        <f>(AC45-AlconstrucHuman)/AlconstrucHuman</f>
        <v>8.7748499533343086E-3</v>
      </c>
      <c r="AD49" s="18"/>
      <c r="AE49" s="18">
        <f>(AE45-Altotalhuman)/Altotalhuman</f>
        <v>-3.0184451051085368E-5</v>
      </c>
      <c r="AF49" s="18">
        <f>(AF45-Alteofhuman)/Alteofhuman</f>
        <v>0</v>
      </c>
      <c r="AG49" s="18">
        <f>(AG45-Altoperationhuman)/Altoperationhuman</f>
        <v>0</v>
      </c>
      <c r="AH49" s="18">
        <f>(AH45-Altproductionhuman)/Altproductionhuman</f>
        <v>0</v>
      </c>
      <c r="AI49" s="18">
        <f>(AI45-Altrawhuman)/Altrawhuman</f>
        <v>-1.3336908987704449E-2</v>
      </c>
      <c r="AJ49" s="18">
        <f>(AJ45-AlconstrucHuman)/AlconstrucHuman</f>
        <v>-1.2718012293782837E-2</v>
      </c>
      <c r="AL49" s="18">
        <f>(AL45-Altotalhuman)/Altotalhuman</f>
        <v>3.0184451057563283E-5</v>
      </c>
      <c r="AM49" s="18">
        <f>(AM45-Alteofhuman)/Alteofhuman</f>
        <v>0</v>
      </c>
      <c r="AN49" s="18">
        <f>(AN45-Altoperationhuman)/Altoperationhuman</f>
        <v>0</v>
      </c>
      <c r="AO49" s="18">
        <f>(AO45-Altproductionhuman)/Altproductionhuman</f>
        <v>0</v>
      </c>
      <c r="AP49" s="18">
        <f>(AP45-Altrawhuman)/Altrawhuman</f>
        <v>1.33369089877048E-2</v>
      </c>
      <c r="AQ49" s="18"/>
      <c r="AR49" s="18">
        <f>(AR45-CFtotalhuman)/CFtotalhuman</f>
        <v>-2.7008483554993593E-5</v>
      </c>
      <c r="AS49" s="18">
        <f>(AS45-CFeofhuman)/CFeofhuman</f>
        <v>0</v>
      </c>
      <c r="AT49" s="18">
        <f>(AT45-CFeofoperationhuman)/CFeofoperationhuman</f>
        <v>0</v>
      </c>
      <c r="AU49" s="18">
        <f>(AU45-CFproductionHuman)/CFproductionHuman</f>
        <v>0</v>
      </c>
      <c r="AV49" s="18">
        <f>(AV45-CFrawhuman)/CFrawhuman</f>
        <v>-9.4738106418697648E-3</v>
      </c>
      <c r="AW49" s="18">
        <f>(AW45-CFconstructionHuman)/CFconstructionHuman</f>
        <v>-6.3906778720879444E-3</v>
      </c>
      <c r="AX49" s="18"/>
      <c r="AY49" s="18">
        <f>(AY45-CFtotalhuman)/CFtotalhuman</f>
        <v>9.2500303434122933E-6</v>
      </c>
      <c r="AZ49" s="18">
        <f>(AZ45-CFeofhuman)/CFeofhuman</f>
        <v>0</v>
      </c>
      <c r="BA49" s="18">
        <f>(BA45-CFeofoperationhuman)/CFeofoperationhuman</f>
        <v>0</v>
      </c>
      <c r="BB49" s="18">
        <f>(BB45-CFproductionHuman)/CFproductionHuman</f>
        <v>0</v>
      </c>
      <c r="BC49" s="18">
        <f>(BC45-CFrawhuman)/CFrawhuman</f>
        <v>3.2446485087868995E-3</v>
      </c>
      <c r="BD49" s="18">
        <f>(BD45-CFconstructionHuman)/CFconstructionHuman</f>
        <v>2.1887183744382747E-3</v>
      </c>
      <c r="BE49" s="18"/>
      <c r="BF49" s="18">
        <f>(BF45-CFtotalhuman)/CFtotalhuman</f>
        <v>-2.2613456928419903E-4</v>
      </c>
      <c r="BG49" s="18">
        <f>(BG45-CFeofhuman)/CFeofhuman</f>
        <v>0</v>
      </c>
      <c r="BH49" s="18">
        <f>(BH45-CFeofoperationhuman)/CFeofoperationhuman</f>
        <v>0</v>
      </c>
      <c r="BI49" s="18">
        <f>(BI45-CFproductionHuman)/CFproductionHuman</f>
        <v>2.2467111985585079E-6</v>
      </c>
      <c r="BJ49" s="18">
        <f>(BJ45-CFrawhuman)/CFrawhuman</f>
        <v>-7.9322682411321274E-2</v>
      </c>
      <c r="BK49" s="18">
        <f>(BK45-CFconstructionHuman)/CFconstructionHuman</f>
        <v>-5.3507379817307889E-2</v>
      </c>
      <c r="BO49" s="18">
        <f>(BO45-CFtotalhuman)/CFtotalhuman</f>
        <v>-6.286813113504432E-5</v>
      </c>
      <c r="BP49" s="18">
        <f>(BP45-CFeofhuman)/CFeofhuman</f>
        <v>-0.51454323758877241</v>
      </c>
      <c r="BQ49" s="18">
        <f>(BQ45-CFeofoperationhuman)/CFeofoperationhuman</f>
        <v>0</v>
      </c>
      <c r="BR49" s="18">
        <f>(BR45-CFproductionHuman)/CFproductionHuman</f>
        <v>-2.5261374793050649E-2</v>
      </c>
      <c r="BS49" s="18">
        <f>(BS45-CFrawhuman)/CFrawhuman</f>
        <v>-9.6628267117421373E-6</v>
      </c>
      <c r="BT49" s="18">
        <f>(BT45-CFconstructionHuman)/CFconstructionHuman</f>
        <v>-8.2275155577370626E-3</v>
      </c>
      <c r="BX49" s="18"/>
      <c r="CC49" s="18">
        <f>(CC45-CFtotalhuman)/CFtotalhuman</f>
        <v>-4.8984978411003742E-4</v>
      </c>
      <c r="CD49" s="18">
        <f>(CD45-CFeofhuman)/CFeofhuman</f>
        <v>0</v>
      </c>
      <c r="CE49" s="18">
        <f>(CE45-CFeofoperationhuman)/CFeofoperationhuman</f>
        <v>0</v>
      </c>
      <c r="CF49" s="18">
        <f>(CF45-CFproductionHuman)/CFproductionHuman</f>
        <v>-6.2572995260314651E-2</v>
      </c>
      <c r="CG49" s="18">
        <f>(CG45-CFrawhuman)/CFrawhuman</f>
        <v>-0.14163756821246859</v>
      </c>
      <c r="CH49" s="18">
        <f>(CH45-CFconstructionHuman)/CFconstructionHuman</f>
        <v>-0.11590699526643035</v>
      </c>
      <c r="CK49" s="18">
        <f>(CK45-CFtotalhuman)/CFtotalhuman</f>
        <v>-1.4974828559382786E-4</v>
      </c>
      <c r="CL49" s="18">
        <f>(CL45-CFeofhuman)/CFeofhuman</f>
        <v>0</v>
      </c>
      <c r="CM49" s="18">
        <f>(CM45-CFeofoperationhuman)/CFeofoperationhuman</f>
        <v>-1.5039196818237424E-4</v>
      </c>
      <c r="CN49" s="18">
        <f>(CN45-CFproductionHuman)/CFproductionHuman</f>
        <v>0</v>
      </c>
      <c r="CO49" s="18">
        <f>(CO45-CFrawhuman)/CFrawhuman</f>
        <v>-4.2394865646321579E-8</v>
      </c>
      <c r="CP49" s="18">
        <f>(CP45-CFconstructionHuman)/CFconstructionHuman</f>
        <v>-2.8597988453306092E-8</v>
      </c>
      <c r="CS49" s="18">
        <f>(CS45-CFtotalhuman)/CFtotalhuman</f>
        <v>-9.0335395235571195E-5</v>
      </c>
      <c r="CT49" s="18">
        <f>(CT45-CFeofhuman)/CFeofhuman</f>
        <v>0</v>
      </c>
      <c r="CU49" s="18">
        <f>(CU45-CFeofoperationhuman)/CFeofoperationhuman</f>
        <v>0</v>
      </c>
      <c r="CV49" s="18">
        <f>(CV45-CFproductionHuman)/CFproductionHuman</f>
        <v>-2.8466028185640438E-2</v>
      </c>
      <c r="CW49" s="18">
        <f>(CW45-CFrawhuman)/CFrawhuman</f>
        <v>-1.7953883035845195E-2</v>
      </c>
      <c r="CX49" s="18">
        <f>(CX45-CFconstructionHuman)/CFconstructionHuman</f>
        <v>-2.1374928739333846E-2</v>
      </c>
      <c r="CZ49" s="18">
        <f>(CZ45-CFtotalhuman)/CFtotalhuman</f>
        <v>9.0341332970268106E-5</v>
      </c>
      <c r="DA49" s="18">
        <f>(DA45-CFeofhuman)/CFeofhuman</f>
        <v>0</v>
      </c>
      <c r="DB49" s="18">
        <f>(DB45-CFeofoperationhuman)/CFeofoperationhuman</f>
        <v>0</v>
      </c>
      <c r="DC49" s="18">
        <f>(DC45-CFproductionHuman)/CFproductionHuman</f>
        <v>2.8470521608034399E-2</v>
      </c>
      <c r="DD49" s="18">
        <f>(DD45-CFrawhuman)/CFrawhuman</f>
        <v>1.7953798006969821E-2</v>
      </c>
      <c r="DE49" s="18">
        <f>(DE45-CFconstructionHuman)/CFconstructionHuman</f>
        <v>2.1376333709961375E-2</v>
      </c>
      <c r="DF49" s="18"/>
      <c r="DG49" s="18">
        <f>(DG45-CFtotalhuman)/CFtotalhuman</f>
        <v>-4.95710744819871E-6</v>
      </c>
      <c r="DH49" s="18">
        <f>(DH45-CFeofhuman)/CFeofhuman</f>
        <v>0</v>
      </c>
      <c r="DI49" s="18">
        <f>(DI45-CFeofoperationhuman)/CFeofoperationhuman</f>
        <v>0</v>
      </c>
      <c r="DJ49" s="18">
        <f>(DJ45-CFproductionHuman)/CFproductionHuman</f>
        <v>-1.12560232092129E-3</v>
      </c>
      <c r="DK49" s="18">
        <f>(DK45-CFrawhuman)/CFrawhuman</f>
        <v>-1.1957747400567311E-3</v>
      </c>
      <c r="DL49" s="18">
        <f>(DL45-CFconstructionHuman)/CFconstructionHuman</f>
        <v>-1.1729380069668402E-3</v>
      </c>
      <c r="DN49" s="18">
        <f>(DN45-CFtotalhuman)/CFtotalhuman</f>
        <v>4.9568650430834466E-6</v>
      </c>
      <c r="DO49" s="18">
        <f>(DO45-CFeofhuman)/CFeofhuman</f>
        <v>0</v>
      </c>
      <c r="DP49" s="18">
        <f>(DP45-CFeofoperationhuman)/CFeofoperationhuman</f>
        <v>0</v>
      </c>
      <c r="DQ49" s="18">
        <f>(DQ45-CFproductionHuman)/CFproductionHuman</f>
        <v>1.1256023209216843E-3</v>
      </c>
      <c r="DR49" s="18">
        <f>(DR45-CFrawhuman)/CFrawhuman</f>
        <v>1.195689711179834E-3</v>
      </c>
      <c r="DS49" s="18">
        <f>(DS45-CFconstructionHuman)/CFconstructionHuman</f>
        <v>1.1728806496712645E-3</v>
      </c>
    </row>
    <row r="50" spans="1:123" x14ac:dyDescent="0.25">
      <c r="C50" t="str">
        <f t="shared" si="83"/>
        <v>Resources</v>
      </c>
      <c r="D50" s="18">
        <f>(D46-Altotalresource)/Altotalresource</f>
        <v>-3.7575226023039802E-4</v>
      </c>
      <c r="E50" s="18">
        <f>(E46-Alteofresource)/Alteofresource</f>
        <v>-0.18936728252006327</v>
      </c>
      <c r="F50" s="18">
        <f>(F46-Altoperationresources)/Altoperationresources</f>
        <v>0</v>
      </c>
      <c r="G50" s="18">
        <f>(G46-Altproductionresources)/Altproductionresources</f>
        <v>0.12714376374727404</v>
      </c>
      <c r="H50" s="18">
        <f>(H46-AltRawrescources)/AltRawrescources</f>
        <v>-0.18918918918918873</v>
      </c>
      <c r="I50" s="18">
        <f>(I46-AlconstrucResources)/AlconstrucResources</f>
        <v>-0.14735466829472998</v>
      </c>
      <c r="J50" s="18">
        <f>(J46-Altotalresource)/Altotalresource</f>
        <v>6.978256261432127E-4</v>
      </c>
      <c r="K50" s="18">
        <f>(K46-Alteofresource)/Alteofresource</f>
        <v>0.35168209610868584</v>
      </c>
      <c r="L50" s="18">
        <f>(L46-Altoperationresources)/Altoperationresources</f>
        <v>0</v>
      </c>
      <c r="M50" s="36">
        <f>(M46-Altproductionresources)/Altproductionresources</f>
        <v>-0.23612413267350718</v>
      </c>
      <c r="N50" s="18">
        <f>(N46-AltRawrescources)/AltRawrescources</f>
        <v>0.35135135135135259</v>
      </c>
      <c r="O50" s="18">
        <f>(O46-AlconstrucResources)/AlconstrucResources</f>
        <v>0.27365866969021485</v>
      </c>
      <c r="P50" s="18"/>
      <c r="Q50" s="18">
        <f>(Q46-Altotalresource)/Altotalresource</f>
        <v>-5.6884428566284689E-6</v>
      </c>
      <c r="R50" s="18">
        <f>(R46-Alteofresource)/Alteofresource</f>
        <v>0</v>
      </c>
      <c r="S50" s="18">
        <f>(S46-Altoperationresources)/Altoperationresources</f>
        <v>0</v>
      </c>
      <c r="T50" s="18">
        <f>(T46-Altproductionresources)/Altproductionresources</f>
        <v>-1.3216821742123413E-2</v>
      </c>
      <c r="U50" s="18">
        <f>(U46-AltRawrescources)/AltRawrescources</f>
        <v>0</v>
      </c>
      <c r="V50" s="18">
        <f>(V46-AlconstrucResources)/AlconstrucResources</f>
        <v>-1.7479032778486892E-3</v>
      </c>
      <c r="W50" s="18"/>
      <c r="X50" s="18">
        <f>(X46-Altotalresource)/Altotalresource</f>
        <v>2.2212014960436729E-5</v>
      </c>
      <c r="Y50" s="18">
        <f>(Y46-Alteofresource)/Alteofresource</f>
        <v>0</v>
      </c>
      <c r="Z50" s="18">
        <f>(Z46-Altoperationresources)/Altoperationresources</f>
        <v>0</v>
      </c>
      <c r="AA50" s="18">
        <f>(AA46-Altproductionresources)/Altproductionresources</f>
        <v>5.1608542040666477E-2</v>
      </c>
      <c r="AB50" s="18">
        <f>(AB46-AltRawrescources)/AltRawrescources</f>
        <v>0</v>
      </c>
      <c r="AC50" s="18">
        <f>(AC46-AlconstrucResources)/AlconstrucResources</f>
        <v>6.8251461325512042E-3</v>
      </c>
      <c r="AD50" s="18"/>
      <c r="AE50" s="18">
        <f>(AE46-Altotalresource)/Altotalresource</f>
        <v>-2.4829538724552841E-5</v>
      </c>
      <c r="AF50" s="18">
        <f>(AF46-Alteofresource)/Alteofresource</f>
        <v>0</v>
      </c>
      <c r="AG50" s="18">
        <f>(AG46-Altoperationresources)/Altoperationresources</f>
        <v>0</v>
      </c>
      <c r="AH50" s="18">
        <f>(AH46-Altproductionresources)/Altproductionresources</f>
        <v>0</v>
      </c>
      <c r="AI50" s="18">
        <f>(AI46-AltRawrescources)/AltRawrescources</f>
        <v>-8.7921930632720267E-3</v>
      </c>
      <c r="AJ50" s="18">
        <f>(AJ46-AlconstrucResources)/AlconstrucResources</f>
        <v>-7.6294397648907263E-3</v>
      </c>
      <c r="AL50" s="18">
        <f>(AL46-Altotalresource)/Altotalresource</f>
        <v>2.4829538724417387E-5</v>
      </c>
      <c r="AM50" s="18">
        <f>(AM46-Alteofresource)/Alteofresource</f>
        <v>0</v>
      </c>
      <c r="AN50" s="18">
        <f>(AN46-Altoperationresources)/Altoperationresources</f>
        <v>0</v>
      </c>
      <c r="AO50" s="18">
        <f>(AO46-Altproductionresources)/Altproductionresources</f>
        <v>0</v>
      </c>
      <c r="AP50" s="18">
        <f>(AP46-AltRawrescources)/AltRawrescources</f>
        <v>8.7921930632722141E-3</v>
      </c>
      <c r="AQ50" s="18"/>
      <c r="AR50" s="18">
        <f>(AR46-CFtotalREsources)/CFtotalREsources</f>
        <v>-4.3386149071607171E-5</v>
      </c>
      <c r="AS50" s="18">
        <f>(AS46-CFeofREsources)/CFeofREsources</f>
        <v>0</v>
      </c>
      <c r="AT50" s="18">
        <f>(AT46-CFeofoperationresources)/CFeofoperationresources</f>
        <v>0</v>
      </c>
      <c r="AU50" s="18">
        <f>(AU46-CFproductionResources)/CFproductionResources</f>
        <v>0</v>
      </c>
      <c r="AV50" s="18">
        <f>(AV46-CFrawresources)/CFrawresources</f>
        <v>-8.965847536110948E-3</v>
      </c>
      <c r="AW50" s="18">
        <f>(AW46-CFconstructionresource)/CFconstructionresource</f>
        <v>-6.0026102446438913E-3</v>
      </c>
      <c r="AX50" s="18"/>
      <c r="AY50" s="18">
        <f>(AY46-CFtotalREsources)/CFtotalREsources</f>
        <v>1.4859153217601053E-5</v>
      </c>
      <c r="AZ50" s="18">
        <f>(AZ46-CFeofREsources)/CFeofREsources</f>
        <v>0</v>
      </c>
      <c r="BA50" s="18">
        <f>(BA46-CFeofoperationresources)/CFeofoperationresources</f>
        <v>0</v>
      </c>
      <c r="BB50" s="18">
        <f>(BB46-CFproductionResources)/CFproductionResources</f>
        <v>0</v>
      </c>
      <c r="BC50" s="18">
        <f>(BC46-CFrawresources)/CFrawresources</f>
        <v>3.0706782030770216E-3</v>
      </c>
      <c r="BD50" s="18">
        <f>(BD46-CFconstructionresource)/CFconstructionresource</f>
        <v>2.0558106041349967E-3</v>
      </c>
      <c r="BE50" s="18"/>
      <c r="BF50" s="18">
        <f>(BF46-CFtotalREsources)/CFtotalREsources</f>
        <v>-7.1194109355619256E-5</v>
      </c>
      <c r="BG50" s="18">
        <f>(BG46-CFeofREsources)/CFeofREsources</f>
        <v>0</v>
      </c>
      <c r="BH50" s="18">
        <f>(BH46-CFeofoperationresources)/CFeofoperationresources</f>
        <v>0</v>
      </c>
      <c r="BI50" s="18">
        <f>(BI46-CFproductionResources)/CFproductionResources</f>
        <v>1.9738531479061617E-8</v>
      </c>
      <c r="BJ50" s="18">
        <f>(BJ46-CFrawresources)/CFrawresources</f>
        <v>-1.4712436258531195E-2</v>
      </c>
      <c r="BK50" s="18">
        <f>(BK46-CFconstructionresource)/CFconstructionresource</f>
        <v>-9.8499290517138228E-3</v>
      </c>
      <c r="BO50" s="18">
        <f>(BO46-CFtotalREsources)/CFtotalREsources</f>
        <v>8.2848032088180017E-5</v>
      </c>
      <c r="BP50" s="18">
        <f>(BP46-CFeofREsources)/CFeofREsources</f>
        <v>-7.5749009836777908E-4</v>
      </c>
      <c r="BQ50" s="18">
        <f>(BQ46-CFeofoperationresources)/CFeofoperationresources</f>
        <v>0</v>
      </c>
      <c r="BR50" s="18">
        <f>(BR46-CFproductionResources)/CFproductionResources</f>
        <v>3.4702580104168011E-2</v>
      </c>
      <c r="BS50" s="18">
        <f>(BS46-CFrawresources)/CFrawresources</f>
        <v>-9.3668949258700224E-6</v>
      </c>
      <c r="BT50" s="18">
        <f>(BT46-CFconstructionresource)/CFconstructionresource</f>
        <v>1.1463027141763622E-2</v>
      </c>
      <c r="BX50" s="18"/>
      <c r="CC50" s="18">
        <f>(CC46-CFtotalREsources)/CFtotalREsources</f>
        <v>-6.7380694690741315E-4</v>
      </c>
      <c r="CD50" s="18">
        <f>(CD46-CFeofREsources)/CFeofREsources</f>
        <v>0</v>
      </c>
      <c r="CE50" s="18">
        <f>(CE46-CFeofoperationresources)/CFeofoperationresources</f>
        <v>0</v>
      </c>
      <c r="CF50" s="18">
        <f>(CF46-CFproductionResources)/CFproductionResources</f>
        <v>1.3012876869644089E-3</v>
      </c>
      <c r="CG50" s="18">
        <f>(CG46-CFrawresources)/CFrawresources</f>
        <v>-0.13988614722505535</v>
      </c>
      <c r="CH50" s="18">
        <f>(CH46-CFconstructionresource)/CFconstructionresource</f>
        <v>-9.3223311332201991E-2</v>
      </c>
      <c r="CK50" s="18">
        <f>(CK46-CFtotalREsources)/CFtotalREsources</f>
        <v>-2.3938365242132575E-4</v>
      </c>
      <c r="CL50" s="18">
        <f>(CL46-CFeofREsources)/CFeofREsources</f>
        <v>0</v>
      </c>
      <c r="CM50" s="18">
        <f>(CM46-CFeofoperationresources)/CFeofoperationresources</f>
        <v>-2.411280080642868E-4</v>
      </c>
      <c r="CN50" s="18">
        <f>(CN46-CFproductionResources)/CFproductionResources</f>
        <v>0</v>
      </c>
      <c r="CO50" s="18">
        <f>(CO46-CFrawresources)/CFrawresources</f>
        <v>-4.01217503395767E-8</v>
      </c>
      <c r="CP50" s="18">
        <f>(CP46-CFconstructionresource)/CFconstructionresource</f>
        <v>-2.6861401507147511E-8</v>
      </c>
      <c r="CS50" s="18">
        <f>(CS46-CFtotalREsources)/CFtotalREsources</f>
        <v>-1.2809357556541845E-4</v>
      </c>
      <c r="CT50" s="18">
        <f>(CT46-CFeofREsources)/CFeofREsources</f>
        <v>0</v>
      </c>
      <c r="CU50" s="18">
        <f>(CU46-CFeofoperationresources)/CFeofoperationresources</f>
        <v>0</v>
      </c>
      <c r="CV50" s="18">
        <f>(CV46-CFproductionResources)/CFproductionResources</f>
        <v>-1.5170729632794398E-4</v>
      </c>
      <c r="CW50" s="18">
        <f>(CW46-CFrawresources)/CFrawresources</f>
        <v>-2.6395940592028638E-2</v>
      </c>
      <c r="CX50" s="18">
        <f>(CX46-CFconstructionresource)/CFconstructionresource</f>
        <v>-1.7722149243852636E-2</v>
      </c>
      <c r="CZ50" s="18">
        <f>(CZ46-CFtotalREsources)/CFtotalREsources</f>
        <v>1.2809328106429212E-4</v>
      </c>
      <c r="DA50" s="18">
        <f>(DA46-CFeofREsources)/CFeofREsources</f>
        <v>0</v>
      </c>
      <c r="DB50" s="18">
        <f>(DB46-CFeofoperationresources)/CFeofoperationresources</f>
        <v>0</v>
      </c>
      <c r="DC50" s="18">
        <f>(DC46-CFproductionResources)/CFproductionResources</f>
        <v>1.5174677339075058E-4</v>
      </c>
      <c r="DD50" s="18">
        <f>(DD46-CFrawresources)/CFrawresources</f>
        <v>2.6395860244564372E-2</v>
      </c>
      <c r="DE50" s="18">
        <f>(DE46-CFconstructionresource)/CFconstructionresource</f>
        <v>1.7722108498724364E-2</v>
      </c>
      <c r="DF50" s="18"/>
      <c r="DG50" s="18">
        <f>(DG46-CFtotalREsources)/CFtotalREsources</f>
        <v>-2.53912957386133E-6</v>
      </c>
      <c r="DH50" s="18">
        <f>(DH46-CFeofREsources)/CFeofREsources</f>
        <v>0</v>
      </c>
      <c r="DI50" s="18">
        <f>(DI46-CFeofoperationresources)/CFeofoperationresources</f>
        <v>0</v>
      </c>
      <c r="DJ50" s="18">
        <f>(DJ46-CFproductionResources)/CFproductionResources</f>
        <v>-9.8890060736078605E-6</v>
      </c>
      <c r="DK50" s="18">
        <f>(DK46-CFrawresources)/CFrawresources</f>
        <v>-5.1983518078728376E-4</v>
      </c>
      <c r="DL50" s="18">
        <f>(DL46-CFconstructionresource)/CFconstructionresource</f>
        <v>-3.5129656628748313E-4</v>
      </c>
      <c r="DN50" s="18">
        <f>(DN46-CFtotalREsources)/CFtotalREsources</f>
        <v>2.538740767780159E-6</v>
      </c>
      <c r="DO50" s="18">
        <f>(DO46-CFeofREsources)/CFeofREsources</f>
        <v>0</v>
      </c>
      <c r="DP50" s="18">
        <f>(DP46-CFeofoperationresources)/CFeofoperationresources</f>
        <v>0</v>
      </c>
      <c r="DQ50" s="18">
        <f>(DQ46-CFproductionResources)/CFproductionResources</f>
        <v>9.8890060654259424E-6</v>
      </c>
      <c r="DR50" s="18">
        <f>(DR46-CFrawresources)/CFrawresources</f>
        <v>5.1975483332301648E-4</v>
      </c>
      <c r="DS50" s="18">
        <f>(DS46-CFconstructionresource)/CFconstructionresource</f>
        <v>3.5124277387852879E-4</v>
      </c>
    </row>
    <row r="51" spans="1:123" x14ac:dyDescent="0.25">
      <c r="D51" s="18"/>
      <c r="E51" s="18"/>
      <c r="F51" s="18"/>
      <c r="G51" s="18"/>
      <c r="H51" s="18"/>
      <c r="J51">
        <f>(50-37)/37</f>
        <v>0.35135135135135137</v>
      </c>
      <c r="AL51" s="71" t="s">
        <v>182</v>
      </c>
      <c r="AM51" s="71"/>
      <c r="AN51" s="71"/>
      <c r="AO51" s="71"/>
      <c r="AP51" s="71"/>
      <c r="AQ51" s="31"/>
    </row>
    <row r="52" spans="1:123" x14ac:dyDescent="0.25">
      <c r="A52" t="s">
        <v>55</v>
      </c>
      <c r="B52" t="s">
        <v>142</v>
      </c>
      <c r="C52" t="s">
        <v>84</v>
      </c>
      <c r="D52" t="s">
        <v>141</v>
      </c>
      <c r="E52" t="str">
        <f>'basic scenarios'!Q38</f>
        <v>CFRP</v>
      </c>
      <c r="AA52" s="18"/>
      <c r="AL52" s="31"/>
      <c r="AM52" s="31"/>
      <c r="AN52" s="31"/>
      <c r="AO52" s="31"/>
      <c r="AP52" s="31"/>
      <c r="AQ52" s="31"/>
    </row>
    <row r="53" spans="1:123" x14ac:dyDescent="0.25">
      <c r="A53" t="str">
        <f>C48</f>
        <v>Ecosystems</v>
      </c>
      <c r="B53" s="1">
        <f>O44</f>
        <v>10068.921953739886</v>
      </c>
      <c r="C53" s="7">
        <f>AlconstrucEco</f>
        <v>7646.0212389246581</v>
      </c>
      <c r="D53" s="1">
        <f>I44</f>
        <v>6341.3823924856852</v>
      </c>
      <c r="E53">
        <f>CFconstructionECo</f>
        <v>10132.876977089232</v>
      </c>
      <c r="F53" s="18">
        <f>(E53-B53)/B53</f>
        <v>6.3517250052367051E-3</v>
      </c>
    </row>
    <row r="54" spans="1:123" x14ac:dyDescent="0.25">
      <c r="A54" t="str">
        <f t="shared" ref="A54:A55" si="84">C49</f>
        <v>Human health</v>
      </c>
      <c r="B54" s="1">
        <f>O45</f>
        <v>14323.087827262514</v>
      </c>
      <c r="C54" s="7">
        <f>AlconstrucHuman</f>
        <v>10918.896350778416</v>
      </c>
      <c r="D54" s="1">
        <f>I45</f>
        <v>9085.8701711331341</v>
      </c>
      <c r="E54">
        <f>CFconstructionHuman</f>
        <v>14176.958656943483</v>
      </c>
      <c r="F54" s="18">
        <f t="shared" ref="F54:F55" si="85">(E54-B54)/B54</f>
        <v>-1.0202351062938339E-2</v>
      </c>
    </row>
    <row r="55" spans="1:123" x14ac:dyDescent="0.25">
      <c r="A55" t="str">
        <f t="shared" si="84"/>
        <v>Resources</v>
      </c>
      <c r="B55" s="1">
        <f>O46</f>
        <v>28499.925119306423</v>
      </c>
      <c r="C55" s="7">
        <f>AlconstrucResources</f>
        <v>22376.42297542583</v>
      </c>
      <c r="D55" s="1">
        <f>I46</f>
        <v>19079.152590259382</v>
      </c>
      <c r="E55">
        <f>CFconstructionresource</f>
        <v>36324.000007293311</v>
      </c>
      <c r="F55" s="18">
        <f t="shared" si="85"/>
        <v>0.27452966473538915</v>
      </c>
    </row>
    <row r="57" spans="1:123" s="8" customFormat="1" x14ac:dyDescent="0.25">
      <c r="D57" s="8" t="s">
        <v>157</v>
      </c>
      <c r="F57" s="70" t="s">
        <v>145</v>
      </c>
      <c r="G57" s="70"/>
      <c r="H57" s="70" t="s">
        <v>142</v>
      </c>
      <c r="I57" s="70"/>
      <c r="J57" s="8" t="s">
        <v>147</v>
      </c>
    </row>
    <row r="58" spans="1:123" x14ac:dyDescent="0.25">
      <c r="A58" t="s">
        <v>144</v>
      </c>
      <c r="D58" t="s">
        <v>55</v>
      </c>
      <c r="E58" t="s">
        <v>158</v>
      </c>
      <c r="F58" t="s">
        <v>55</v>
      </c>
      <c r="G58" t="s">
        <v>4</v>
      </c>
      <c r="H58" t="s">
        <v>146</v>
      </c>
      <c r="I58" t="s">
        <v>4</v>
      </c>
      <c r="J58" t="s">
        <v>55</v>
      </c>
      <c r="K58" t="s">
        <v>4</v>
      </c>
    </row>
    <row r="59" spans="1:123" x14ac:dyDescent="0.25">
      <c r="C59" t="str">
        <f>C48</f>
        <v>Ecosystems</v>
      </c>
      <c r="D59" s="52">
        <f>AlconstrucEco</f>
        <v>7646.0212389246581</v>
      </c>
      <c r="E59" s="52">
        <f>Altotaleco</f>
        <v>2455864.6776606599</v>
      </c>
      <c r="F59" s="18">
        <f>I48</f>
        <v>-0.17062977013420619</v>
      </c>
      <c r="G59" s="18">
        <f>D48</f>
        <v>-4.4839386536507051E-4</v>
      </c>
      <c r="H59" s="18">
        <f>O48</f>
        <v>0.31688385882066766</v>
      </c>
      <c r="I59" s="18">
        <f>J48</f>
        <v>8.3273146424909161E-4</v>
      </c>
      <c r="J59" s="18">
        <f>AJ48</f>
        <v>-7.998941770111883E-3</v>
      </c>
      <c r="K59" s="18">
        <f>AE48</f>
        <v>-2.4903684318920135E-5</v>
      </c>
    </row>
    <row r="60" spans="1:123" x14ac:dyDescent="0.25">
      <c r="C60" t="str">
        <f t="shared" ref="C60:C61" si="86">C49</f>
        <v>Human health</v>
      </c>
      <c r="D60" s="52">
        <f>AlconstrucHuman</f>
        <v>10918.896350778416</v>
      </c>
      <c r="E60" s="52">
        <f>Altotalhuman</f>
        <v>4600602.4021228421</v>
      </c>
      <c r="F60" s="18">
        <f t="shared" ref="F60:F61" si="87">I49</f>
        <v>-0.16787650699831067</v>
      </c>
      <c r="G60" s="18">
        <f t="shared" ref="G60:G61" si="88">D49</f>
        <v>-3.4103258029527441E-4</v>
      </c>
      <c r="H60" s="18">
        <f t="shared" ref="H60:H61" si="89">O49</f>
        <v>0.31177065585400593</v>
      </c>
      <c r="I60" s="18">
        <f t="shared" ref="I60:I61" si="90">J49</f>
        <v>6.3334622055128765E-4</v>
      </c>
      <c r="J60" s="18">
        <f t="shared" ref="J60:J61" si="91">AJ49</f>
        <v>-1.2718012293782837E-2</v>
      </c>
      <c r="K60" s="18">
        <f t="shared" ref="K60:K61" si="92">AE49</f>
        <v>-3.0184451051085368E-5</v>
      </c>
    </row>
    <row r="61" spans="1:123" x14ac:dyDescent="0.25">
      <c r="C61" t="str">
        <f t="shared" si="86"/>
        <v>Resources</v>
      </c>
      <c r="D61" s="52">
        <f>AlconstrucResources</f>
        <v>22376.42297542583</v>
      </c>
      <c r="E61" s="52">
        <f>Altotalresource</f>
        <v>6875664.229485793</v>
      </c>
      <c r="F61" s="18">
        <f t="shared" si="87"/>
        <v>-0.14735466829472998</v>
      </c>
      <c r="G61" s="18">
        <f t="shared" si="88"/>
        <v>-3.7575226023039802E-4</v>
      </c>
      <c r="H61" s="18">
        <f t="shared" si="89"/>
        <v>0.27365866969021485</v>
      </c>
      <c r="I61" s="18">
        <f t="shared" si="90"/>
        <v>6.978256261432127E-4</v>
      </c>
      <c r="J61" s="18">
        <f t="shared" si="91"/>
        <v>-7.6294397648907263E-3</v>
      </c>
      <c r="K61" s="18">
        <f t="shared" si="92"/>
        <v>-2.4829538724552841E-5</v>
      </c>
    </row>
    <row r="63" spans="1:123" x14ac:dyDescent="0.25">
      <c r="D63" s="68" t="s">
        <v>154</v>
      </c>
      <c r="E63" s="68"/>
      <c r="F63" t="s">
        <v>149</v>
      </c>
      <c r="H63" t="s">
        <v>156</v>
      </c>
    </row>
    <row r="64" spans="1:123" x14ac:dyDescent="0.25">
      <c r="A64" t="s">
        <v>148</v>
      </c>
      <c r="D64" t="s">
        <v>55</v>
      </c>
      <c r="E64" t="s">
        <v>155</v>
      </c>
      <c r="F64" t="s">
        <v>55</v>
      </c>
      <c r="G64" t="s">
        <v>4</v>
      </c>
      <c r="H64" t="s">
        <v>55</v>
      </c>
      <c r="I64" t="s">
        <v>4</v>
      </c>
    </row>
    <row r="65" spans="3:11" x14ac:dyDescent="0.25">
      <c r="C65" t="str">
        <f>C59</f>
        <v>Ecosystems</v>
      </c>
      <c r="D65" s="52">
        <f>CFconstructionECo</f>
        <v>10132.876977089232</v>
      </c>
      <c r="E65" s="52">
        <f>CFtotaleco</f>
        <v>1792191.7015949949</v>
      </c>
      <c r="F65" s="18">
        <f>BK48</f>
        <v>3.695716788837209E-2</v>
      </c>
      <c r="G65" s="18">
        <f>BF48</f>
        <v>2.089522205145308E-4</v>
      </c>
      <c r="H65" s="51">
        <f>'CFRP korteres produtionstid'!G32</f>
        <v>-0.11090761187011429</v>
      </c>
      <c r="I65" s="18">
        <f>'CFRP korteres produtionstid'!H32</f>
        <v>-6.2711214872463101E-4</v>
      </c>
      <c r="J65" s="18"/>
      <c r="K65" s="18"/>
    </row>
    <row r="66" spans="3:11" x14ac:dyDescent="0.25">
      <c r="C66" t="str">
        <f t="shared" ref="C66:C67" si="93">C60</f>
        <v>Human health</v>
      </c>
      <c r="D66" s="52">
        <f>CFconstructionHuman</f>
        <v>14176.958656943483</v>
      </c>
      <c r="E66" s="52">
        <f>CFtotalhuman</f>
        <v>3354515.4723829161</v>
      </c>
      <c r="F66" s="18">
        <f t="shared" ref="F66" si="94">BK49</f>
        <v>-5.3507379817307889E-2</v>
      </c>
      <c r="G66" s="18">
        <f t="shared" ref="G66:G67" si="95">BF49</f>
        <v>-2.2613456928419903E-4</v>
      </c>
      <c r="H66" s="51">
        <f>'CFRP korteres produtionstid'!G33</f>
        <v>-9.4053047613337382E-2</v>
      </c>
      <c r="I66" s="18">
        <f>'CFRP korteres produtionstid'!H33</f>
        <v>-3.9752318412141418E-4</v>
      </c>
      <c r="J66" s="18"/>
      <c r="K66" s="18"/>
    </row>
    <row r="67" spans="3:11" x14ac:dyDescent="0.25">
      <c r="C67" t="str">
        <f t="shared" si="93"/>
        <v>Resources</v>
      </c>
      <c r="D67" s="52">
        <f>CFconstructionresource</f>
        <v>36324.000007293311</v>
      </c>
      <c r="E67" s="52">
        <f>CFtotalREsources</f>
        <v>5025539.6995469397</v>
      </c>
      <c r="F67" s="18">
        <f>BK50</f>
        <v>-9.8499290517138228E-3</v>
      </c>
      <c r="G67" s="18">
        <f t="shared" si="95"/>
        <v>-7.1194109355619256E-5</v>
      </c>
      <c r="H67" s="51">
        <f>'CFRP korteres produtionstid'!G34</f>
        <v>-0.11207220638592386</v>
      </c>
      <c r="I67" s="18">
        <f>'CFRP korteres produtionstid'!H34</f>
        <v>-8.1010148532094579E-4</v>
      </c>
      <c r="J67" s="18"/>
      <c r="K67" s="18"/>
    </row>
  </sheetData>
  <mergeCells count="6">
    <mergeCell ref="BX4:BY4"/>
    <mergeCell ref="D31:G31"/>
    <mergeCell ref="D63:E63"/>
    <mergeCell ref="F57:G57"/>
    <mergeCell ref="H57:I57"/>
    <mergeCell ref="AL51:AP5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N269"/>
  <sheetViews>
    <sheetView topLeftCell="A189" workbookViewId="0">
      <selection activeCell="G271" sqref="A264:G271"/>
    </sheetView>
  </sheetViews>
  <sheetFormatPr defaultRowHeight="15" x14ac:dyDescent="0.25"/>
  <cols>
    <col min="1" max="1" width="38.28515625" bestFit="1" customWidth="1"/>
  </cols>
  <sheetData>
    <row r="19" spans="11:11" x14ac:dyDescent="0.25">
      <c r="K19" s="51" t="s">
        <v>143</v>
      </c>
    </row>
    <row r="20" spans="11:11" x14ac:dyDescent="0.25">
      <c r="K20" s="51">
        <f>(CFconstructionECo-AlconstrucEco)/AlconstrucEco</f>
        <v>0.32524834295573152</v>
      </c>
    </row>
    <row r="21" spans="11:11" x14ac:dyDescent="0.25">
      <c r="K21" s="51">
        <f>(CFconstructionECo-AlconstrucEco)/AlconstrucEco</f>
        <v>0.32524834295573152</v>
      </c>
    </row>
    <row r="22" spans="11:11" x14ac:dyDescent="0.25">
      <c r="K22" s="51">
        <f>(CFconstructionresource-AlconstrucResources)/AlconstrucResources</f>
        <v>0.62331575726759136</v>
      </c>
    </row>
    <row r="37" spans="11:14" x14ac:dyDescent="0.25">
      <c r="K37" s="20" t="s">
        <v>86</v>
      </c>
      <c r="L37" s="20" t="str">
        <f>'basic scenarios'!D38</f>
        <v>Total AL</v>
      </c>
      <c r="M37" s="21" t="str">
        <f>'basic scenarios'!J38</f>
        <v>Total CFRP</v>
      </c>
    </row>
    <row r="38" spans="11:14" x14ac:dyDescent="0.25">
      <c r="K38" s="20" t="str">
        <f>'basic scenarios'!C44</f>
        <v>Ecosystems</v>
      </c>
      <c r="L38" s="21">
        <f>'basic scenarios'!D44</f>
        <v>2455864.6776606599</v>
      </c>
      <c r="M38" s="21">
        <f>'basic scenarios'!J44</f>
        <v>1792191.7015949949</v>
      </c>
      <c r="N38" s="18"/>
    </row>
    <row r="39" spans="11:14" x14ac:dyDescent="0.25">
      <c r="K39" s="20" t="str">
        <f>'basic scenarios'!C45</f>
        <v>Human health</v>
      </c>
      <c r="L39" s="21">
        <f>'basic scenarios'!D45</f>
        <v>4600602.4021228421</v>
      </c>
      <c r="M39" s="21">
        <f>'basic scenarios'!J45</f>
        <v>3354515.4723829161</v>
      </c>
      <c r="N39" s="18"/>
    </row>
    <row r="40" spans="11:14" x14ac:dyDescent="0.25">
      <c r="K40" s="20" t="str">
        <f>'basic scenarios'!C46</f>
        <v>Resources</v>
      </c>
      <c r="L40" s="21">
        <f>'basic scenarios'!D46</f>
        <v>6875664.229485793</v>
      </c>
      <c r="M40" s="21">
        <f>'basic scenarios'!J46</f>
        <v>5025539.6995469397</v>
      </c>
      <c r="N40" s="18"/>
    </row>
    <row r="80" spans="1:5" x14ac:dyDescent="0.25">
      <c r="A80" t="s">
        <v>51</v>
      </c>
      <c r="B80" t="str">
        <f>'basic scenarios'!K5</f>
        <v>End of Life</v>
      </c>
      <c r="C80" t="str">
        <f>'basic scenarios'!L5</f>
        <v>Operation</v>
      </c>
      <c r="D80" t="str">
        <f>'basic scenarios'!M5</f>
        <v>Production</v>
      </c>
      <c r="E80" t="str">
        <f>'basic scenarios'!N5</f>
        <v>Raw materials</v>
      </c>
    </row>
    <row r="81" spans="1:5" x14ac:dyDescent="0.25">
      <c r="A81" t="str">
        <f>'basic scenarios'!C6</f>
        <v xml:space="preserve"> Agricultural land occupation [species.yr]</v>
      </c>
      <c r="B81" s="1">
        <f>'basic scenarios'!K6</f>
        <v>1.2304986583539201E-7</v>
      </c>
      <c r="C81" s="1">
        <f>'basic scenarios'!L6</f>
        <v>7.0214856402244495E-4</v>
      </c>
      <c r="D81" s="1">
        <f>'basic scenarios'!M6</f>
        <v>2.0982022235165799E-5</v>
      </c>
      <c r="E81" s="1">
        <f>'basic scenarios'!N6</f>
        <v>1.8269781195806101E-4</v>
      </c>
    </row>
    <row r="82" spans="1:5" x14ac:dyDescent="0.25">
      <c r="A82" t="str">
        <f>'basic scenarios'!C7</f>
        <v xml:space="preserve"> Climate change Ecosystems [species.yr]</v>
      </c>
      <c r="B82" s="1">
        <f>'basic scenarios'!K7</f>
        <v>2.5307868158581601E-5</v>
      </c>
      <c r="C82" s="1">
        <f>'basic scenarios'!L7</f>
        <v>0.71408107539659404</v>
      </c>
      <c r="D82" s="1">
        <f>'basic scenarios'!M7</f>
        <v>1.54264424269683E-3</v>
      </c>
      <c r="E82" s="1">
        <f>'basic scenarios'!N7</f>
        <v>2.7191874545458498E-3</v>
      </c>
    </row>
    <row r="83" spans="1:5" x14ac:dyDescent="0.25">
      <c r="A83" t="str">
        <f>'basic scenarios'!C8</f>
        <v xml:space="preserve"> Climate change Human Health [DALY]</v>
      </c>
      <c r="B83" s="1">
        <f>'basic scenarios'!K8</f>
        <v>4.4719287527746803E-3</v>
      </c>
      <c r="C83" s="1">
        <f>'basic scenarios'!L8</f>
        <v>126.07085342710999</v>
      </c>
      <c r="D83" s="1">
        <f>'basic scenarios'!M8</f>
        <v>0.272369271732046</v>
      </c>
      <c r="E83" s="1">
        <f>'basic scenarios'!N8</f>
        <v>0.48018923158198801</v>
      </c>
    </row>
    <row r="84" spans="1:5" x14ac:dyDescent="0.25">
      <c r="A84" t="str">
        <f>'basic scenarios'!C9</f>
        <v xml:space="preserve"> Fossil depletion [$]</v>
      </c>
      <c r="B84" s="1">
        <f>'basic scenarios'!K9</f>
        <v>3445.7012042435499</v>
      </c>
      <c r="C84" s="1">
        <f>'basic scenarios'!L9</f>
        <v>509224408.21751398</v>
      </c>
      <c r="D84" s="1">
        <f>'basic scenarios'!M9</f>
        <v>1046013.8959410799</v>
      </c>
      <c r="E84" s="1">
        <f>'basic scenarios'!N9</f>
        <v>2466793.4176797098</v>
      </c>
    </row>
    <row r="85" spans="1:5" x14ac:dyDescent="0.25">
      <c r="A85" t="str">
        <f>'basic scenarios'!C10</f>
        <v xml:space="preserve"> Freshwater ecotoxicity [species.yr]</v>
      </c>
      <c r="B85" s="1">
        <f>'basic scenarios'!K10</f>
        <v>4.7685246479247003E-7</v>
      </c>
      <c r="C85" s="1">
        <f>'basic scenarios'!L10</f>
        <v>1.03545460559434E-5</v>
      </c>
      <c r="D85" s="1">
        <f>'basic scenarios'!M10</f>
        <v>2.17539877525027E-7</v>
      </c>
      <c r="E85" s="1">
        <f>'basic scenarios'!N10</f>
        <v>5.5250726239784798E-8</v>
      </c>
    </row>
    <row r="86" spans="1:5" x14ac:dyDescent="0.25">
      <c r="A86" t="str">
        <f>'basic scenarios'!C11</f>
        <v xml:space="preserve"> Freshwater eutrophication [species.yr]</v>
      </c>
      <c r="B86" s="1">
        <f>'basic scenarios'!K11</f>
        <v>1.2412453655796999E-10</v>
      </c>
      <c r="C86" s="1">
        <f>'basic scenarios'!L11</f>
        <v>9.7484508724519704E-6</v>
      </c>
      <c r="D86" s="1">
        <f>'basic scenarios'!M11</f>
        <v>4.38308871664202E-8</v>
      </c>
      <c r="E86" s="1">
        <f>'basic scenarios'!N11</f>
        <v>1.6662842628759901E-7</v>
      </c>
    </row>
    <row r="87" spans="1:5" x14ac:dyDescent="0.25">
      <c r="A87" t="str">
        <f>'basic scenarios'!C12</f>
        <v xml:space="preserve"> Human toxicity [DALY]</v>
      </c>
      <c r="B87" s="1">
        <f>'basic scenarios'!K12</f>
        <v>7.5756939240089497E-3</v>
      </c>
      <c r="C87" s="1">
        <f>'basic scenarios'!L12</f>
        <v>0.72079394109602801</v>
      </c>
      <c r="D87" s="1">
        <f>'basic scenarios'!M12</f>
        <v>3.9232494976339299E-3</v>
      </c>
      <c r="E87" s="1">
        <f>'basic scenarios'!N12</f>
        <v>4.4980382556453003E-3</v>
      </c>
    </row>
    <row r="88" spans="1:5" x14ac:dyDescent="0.25">
      <c r="A88" t="str">
        <f>'basic scenarios'!C13</f>
        <v xml:space="preserve"> Ionising radiation [DALY]</v>
      </c>
      <c r="B88" s="1">
        <f>'basic scenarios'!K13</f>
        <v>0.48994942806311997</v>
      </c>
      <c r="C88" s="1">
        <f>'basic scenarios'!L13</f>
        <v>10248.078093177601</v>
      </c>
      <c r="D88" s="1">
        <f>'basic scenarios'!M13</f>
        <v>60.447294391905601</v>
      </c>
      <c r="E88" s="1">
        <f>'basic scenarios'!N13</f>
        <v>381.78173282802402</v>
      </c>
    </row>
    <row r="89" spans="1:5" x14ac:dyDescent="0.25">
      <c r="A89" t="str">
        <f>'basic scenarios'!C14</f>
        <v xml:space="preserve"> Marine ecotoxicity [species.yr]</v>
      </c>
      <c r="B89" s="1">
        <f>'basic scenarios'!K14</f>
        <v>1.43603837478078E-9</v>
      </c>
      <c r="C89" s="1">
        <f>'basic scenarios'!L14</f>
        <v>3.6940470328754401E-8</v>
      </c>
      <c r="D89" s="1">
        <f>'basic scenarios'!M14</f>
        <v>6.7335615314917798E-10</v>
      </c>
      <c r="E89" s="1">
        <f>'basic scenarios'!N14</f>
        <v>1.29083907291978E-10</v>
      </c>
    </row>
    <row r="90" spans="1:5" x14ac:dyDescent="0.25">
      <c r="A90" t="str">
        <f>'basic scenarios'!C15</f>
        <v xml:space="preserve"> Metal depletion [$]</v>
      </c>
      <c r="B90" s="1">
        <f>'basic scenarios'!K15</f>
        <v>2.0341005300703401</v>
      </c>
      <c r="C90" s="1">
        <f>'basic scenarios'!L15</f>
        <v>29980.878239657799</v>
      </c>
      <c r="D90" s="1">
        <f>'basic scenarios'!M15</f>
        <v>1865.1812205687099</v>
      </c>
      <c r="E90" s="1">
        <f>'basic scenarios'!N15</f>
        <v>299.38565071118802</v>
      </c>
    </row>
    <row r="91" spans="1:5" x14ac:dyDescent="0.25">
      <c r="A91" t="str">
        <f>'basic scenarios'!C16</f>
        <v xml:space="preserve"> Natural land transformation [species.yr]</v>
      </c>
      <c r="B91" s="1">
        <f>'basic scenarios'!K16</f>
        <v>-1.7320706204758299E-6</v>
      </c>
      <c r="C91" s="1">
        <f>'basic scenarios'!L16</f>
        <v>8.3271549766116906E-2</v>
      </c>
      <c r="D91" s="1">
        <f>'basic scenarios'!M16</f>
        <v>5.5935169715287599E-5</v>
      </c>
      <c r="E91" s="1">
        <f>'basic scenarios'!N16</f>
        <v>2.69588615500756E-5</v>
      </c>
    </row>
    <row r="92" spans="1:5" x14ac:dyDescent="0.25">
      <c r="A92" t="str">
        <f>'basic scenarios'!C17</f>
        <v xml:space="preserve"> Ozone depletion [DALY]</v>
      </c>
      <c r="B92" s="1">
        <f>'basic scenarios'!K17</f>
        <v>2.4388748002601001E-7</v>
      </c>
      <c r="C92" s="1">
        <f>'basic scenarios'!L17</f>
        <v>3.0331140126645999E-2</v>
      </c>
      <c r="D92" s="1">
        <f>'basic scenarios'!M17</f>
        <v>4.5500173458369902E-5</v>
      </c>
      <c r="E92" s="1">
        <f>'basic scenarios'!N17</f>
        <v>2.8111106824443001E-5</v>
      </c>
    </row>
    <row r="93" spans="1:5" x14ac:dyDescent="0.25">
      <c r="A93" t="str">
        <f>'basic scenarios'!C18</f>
        <v xml:space="preserve"> Particulate matter formation [DALY]</v>
      </c>
      <c r="B93" s="1">
        <f>'basic scenarios'!K18</f>
        <v>2.85200860758254E-4</v>
      </c>
      <c r="C93" s="1">
        <f>'basic scenarios'!L18</f>
        <v>98.027329200817604</v>
      </c>
      <c r="D93" s="1">
        <f>'basic scenarios'!M18</f>
        <v>3.4244987125053798E-2</v>
      </c>
      <c r="E93" s="1">
        <f>'basic scenarios'!N18</f>
        <v>0.158782560429262</v>
      </c>
    </row>
    <row r="94" spans="1:5" x14ac:dyDescent="0.25">
      <c r="A94" t="str">
        <f>'basic scenarios'!C19</f>
        <v xml:space="preserve"> Photochemical oxidant formation [DALY]</v>
      </c>
      <c r="B94" s="1">
        <f>'basic scenarios'!K19</f>
        <v>1.6225142348880399E-7</v>
      </c>
      <c r="C94" s="1">
        <f>'basic scenarios'!L19</f>
        <v>4.4237084013616902E-2</v>
      </c>
      <c r="D94" s="1">
        <f>'basic scenarios'!M19</f>
        <v>1.3237230202352E-5</v>
      </c>
      <c r="E94" s="1">
        <f>'basic scenarios'!N19</f>
        <v>4.5466741527062601E-5</v>
      </c>
    </row>
    <row r="95" spans="1:5" x14ac:dyDescent="0.25">
      <c r="A95" t="str">
        <f>'basic scenarios'!C20</f>
        <v xml:space="preserve"> Terrestrial acidification [species.yr]</v>
      </c>
      <c r="B95" s="1">
        <f>'basic scenarios'!K20</f>
        <v>1.32883468390128E-8</v>
      </c>
      <c r="C95" s="1">
        <f>'basic scenarios'!L20</f>
        <v>4.3692073716595503E-3</v>
      </c>
      <c r="D95" s="1">
        <f>'basic scenarios'!M20</f>
        <v>1.4841874619662201E-6</v>
      </c>
      <c r="E95" s="1">
        <f>'basic scenarios'!N20</f>
        <v>8.0416048831902498E-6</v>
      </c>
    </row>
    <row r="96" spans="1:5" x14ac:dyDescent="0.25">
      <c r="A96" t="str">
        <f>'basic scenarios'!C21</f>
        <v xml:space="preserve"> Terrestrial ecotoxicity [species.yr]</v>
      </c>
      <c r="B96" s="1">
        <f>'basic scenarios'!K21</f>
        <v>2.32998524068193E-8</v>
      </c>
      <c r="C96" s="1">
        <f>'basic scenarios'!L21</f>
        <v>8.0660747489523402E-4</v>
      </c>
      <c r="D96" s="1">
        <f>'basic scenarios'!M21</f>
        <v>1.36677977220622E-6</v>
      </c>
      <c r="E96" s="1">
        <f>'basic scenarios'!N21</f>
        <v>5.0806156904037197E-6</v>
      </c>
    </row>
    <row r="97" spans="1:5" x14ac:dyDescent="0.25">
      <c r="A97" t="str">
        <f>'basic scenarios'!C22</f>
        <v xml:space="preserve"> Urban land occupation [species.yr]</v>
      </c>
      <c r="B97" s="1">
        <f>'basic scenarios'!K22</f>
        <v>2.2782159536255599E-6</v>
      </c>
      <c r="C97" s="1">
        <f>'basic scenarios'!L22</f>
        <v>3.10439756473128E-3</v>
      </c>
      <c r="D97" s="1">
        <f>'basic scenarios'!M22</f>
        <v>1.0487522082302699E-5</v>
      </c>
      <c r="E97" s="1">
        <f>'basic scenarios'!N22</f>
        <v>9.7765071842586001E-6</v>
      </c>
    </row>
    <row r="122" spans="1:4" x14ac:dyDescent="0.25">
      <c r="A122" t="s">
        <v>87</v>
      </c>
      <c r="B122" t="str">
        <f>'basic scenarios'!D38</f>
        <v>Total AL</v>
      </c>
      <c r="C122" t="str">
        <f>'basic scenarios'!J38</f>
        <v>Total CFRP</v>
      </c>
    </row>
    <row r="123" spans="1:4" x14ac:dyDescent="0.25">
      <c r="A123" t="str">
        <f>'basic scenarios'!C44</f>
        <v>Ecosystems</v>
      </c>
      <c r="B123" s="1">
        <f>'basic scenarios'!D44</f>
        <v>2455864.6776606599</v>
      </c>
      <c r="C123" s="1">
        <f>'basic scenarios'!J44</f>
        <v>1792191.7015949949</v>
      </c>
      <c r="D123" s="1"/>
    </row>
    <row r="124" spans="1:4" x14ac:dyDescent="0.25">
      <c r="A124" t="str">
        <f>'basic scenarios'!C45</f>
        <v>Human health</v>
      </c>
      <c r="B124" s="1">
        <f>'basic scenarios'!D45</f>
        <v>4600602.4021228421</v>
      </c>
      <c r="C124" s="1">
        <f>'basic scenarios'!J45</f>
        <v>3354515.4723829161</v>
      </c>
      <c r="D124" s="1"/>
    </row>
    <row r="125" spans="1:4" x14ac:dyDescent="0.25">
      <c r="A125" t="str">
        <f>'basic scenarios'!C46</f>
        <v>Resources</v>
      </c>
      <c r="B125" s="1">
        <f>'basic scenarios'!D46</f>
        <v>6875664.229485793</v>
      </c>
      <c r="C125" s="1">
        <f>'basic scenarios'!J46</f>
        <v>5025539.6995469397</v>
      </c>
      <c r="D125" s="1"/>
    </row>
    <row r="231" spans="1:6" x14ac:dyDescent="0.25">
      <c r="A231" t="s">
        <v>4</v>
      </c>
    </row>
    <row r="232" spans="1:6" x14ac:dyDescent="0.25">
      <c r="B232" t="s">
        <v>174</v>
      </c>
      <c r="C232" t="s">
        <v>51</v>
      </c>
      <c r="E232" t="s">
        <v>175</v>
      </c>
      <c r="F232" t="s">
        <v>51</v>
      </c>
    </row>
    <row r="233" spans="1:6" x14ac:dyDescent="0.25">
      <c r="A233" s="3" t="s">
        <v>9</v>
      </c>
      <c r="B233">
        <f>'basic scenarios'!D6</f>
        <v>1.0326139640292799E-3</v>
      </c>
      <c r="C233">
        <f>'basic scenarios'!J6</f>
        <v>9.0595144808150701E-4</v>
      </c>
      <c r="E233">
        <v>100</v>
      </c>
      <c r="F233">
        <f>100*C233/B233</f>
        <v>87.733797879942145</v>
      </c>
    </row>
    <row r="234" spans="1:6" x14ac:dyDescent="0.25">
      <c r="A234" s="63" t="s">
        <v>10</v>
      </c>
      <c r="B234" s="63">
        <f>'basic scenarios'!D7</f>
        <v>0.98425566146875598</v>
      </c>
      <c r="C234" s="63">
        <f>'basic scenarios'!J7</f>
        <v>0.71836821496199499</v>
      </c>
      <c r="E234">
        <v>100</v>
      </c>
      <c r="F234" s="63">
        <f t="shared" ref="F234:F249" si="0">100*C234/B234</f>
        <v>72.985936793089891</v>
      </c>
    </row>
    <row r="235" spans="1:6" x14ac:dyDescent="0.25">
      <c r="A235" s="63" t="s">
        <v>11</v>
      </c>
      <c r="B235" s="63">
        <f>'basic scenarios'!D8</f>
        <v>173.76985271468101</v>
      </c>
      <c r="C235" s="63">
        <f>'basic scenarios'!J8</f>
        <v>126.827883859176</v>
      </c>
      <c r="E235" s="63">
        <v>100</v>
      </c>
      <c r="F235" s="63">
        <f t="shared" si="0"/>
        <v>72.986126119022089</v>
      </c>
    </row>
    <row r="236" spans="1:6" x14ac:dyDescent="0.25">
      <c r="A236" s="63" t="s">
        <v>12</v>
      </c>
      <c r="B236" s="63">
        <f>'basic scenarios'!D9</f>
        <v>701074250.47147799</v>
      </c>
      <c r="C236" s="63">
        <f>'basic scenarios'!J9</f>
        <v>512740661.23233902</v>
      </c>
      <c r="E236" s="63">
        <v>100</v>
      </c>
      <c r="F236" s="63">
        <f t="shared" si="0"/>
        <v>73.136427544945036</v>
      </c>
    </row>
    <row r="237" spans="1:6" x14ac:dyDescent="0.25">
      <c r="A237" s="63" t="s">
        <v>13</v>
      </c>
      <c r="B237" s="63">
        <f>'basic scenarios'!D10</f>
        <v>1.4566269733113901E-5</v>
      </c>
      <c r="C237" s="63">
        <f>'basic scenarios'!J10</f>
        <v>1.11041891245007E-5</v>
      </c>
      <c r="E237" s="63">
        <v>100</v>
      </c>
      <c r="F237" s="63">
        <f t="shared" si="0"/>
        <v>76.232208574699413</v>
      </c>
    </row>
    <row r="238" spans="1:6" x14ac:dyDescent="0.25">
      <c r="A238" s="63" t="s">
        <v>14</v>
      </c>
      <c r="B238" s="63">
        <f>'basic scenarios'!D11</f>
        <v>1.3727313699639599E-5</v>
      </c>
      <c r="C238" s="63">
        <f>'basic scenarios'!J11</f>
        <v>9.9590343104425493E-6</v>
      </c>
      <c r="E238" s="63">
        <v>100</v>
      </c>
      <c r="F238" s="63">
        <f t="shared" si="0"/>
        <v>72.549040025974037</v>
      </c>
    </row>
    <row r="239" spans="1:6" x14ac:dyDescent="0.25">
      <c r="A239" s="63" t="s">
        <v>15</v>
      </c>
      <c r="B239" s="63">
        <f>'basic scenarios'!D12</f>
        <v>1.00244871922637</v>
      </c>
      <c r="C239" s="63">
        <f>'basic scenarios'!J12</f>
        <v>0.73679092277331604</v>
      </c>
      <c r="E239" s="63">
        <v>100</v>
      </c>
      <c r="F239" s="63">
        <f t="shared" si="0"/>
        <v>73.499113584775415</v>
      </c>
    </row>
    <row r="240" spans="1:6" x14ac:dyDescent="0.25">
      <c r="A240" s="63" t="s">
        <v>16</v>
      </c>
      <c r="B240" s="63">
        <f>'basic scenarios'!D13</f>
        <v>14482.682328209599</v>
      </c>
      <c r="C240" s="63">
        <f>'basic scenarios'!J13</f>
        <v>10690.797069825599</v>
      </c>
      <c r="E240" s="63">
        <v>100</v>
      </c>
      <c r="F240" s="63">
        <f t="shared" si="0"/>
        <v>73.817797197704849</v>
      </c>
    </row>
    <row r="241" spans="1:6" x14ac:dyDescent="0.25">
      <c r="A241" s="63" t="s">
        <v>17</v>
      </c>
      <c r="B241" s="63">
        <f>'basic scenarios'!D14</f>
        <v>5.1797256251941499E-8</v>
      </c>
      <c r="C241" s="63">
        <f>'basic scenarios'!J14</f>
        <v>3.9178948763976297E-8</v>
      </c>
      <c r="E241" s="63">
        <v>100</v>
      </c>
      <c r="F241" s="63">
        <f t="shared" si="0"/>
        <v>75.639042680967819</v>
      </c>
    </row>
    <row r="242" spans="1:6" x14ac:dyDescent="0.25">
      <c r="A242" s="63" t="s">
        <v>18</v>
      </c>
      <c r="B242" s="63">
        <f>'basic scenarios'!D15</f>
        <v>48272.770890634303</v>
      </c>
      <c r="C242" s="63">
        <f>'basic scenarios'!J15</f>
        <v>32147.4792114677</v>
      </c>
      <c r="E242" s="63">
        <v>100</v>
      </c>
      <c r="F242" s="63">
        <f t="shared" si="0"/>
        <v>66.595471149357266</v>
      </c>
    </row>
    <row r="243" spans="1:6" x14ac:dyDescent="0.25">
      <c r="A243" s="63" t="s">
        <v>19</v>
      </c>
      <c r="B243" s="63">
        <f>'basic scenarios'!D16</f>
        <v>0.11455036104501801</v>
      </c>
      <c r="C243" s="63">
        <f>'basic scenarios'!J16</f>
        <v>8.33527117267618E-2</v>
      </c>
      <c r="E243" s="63">
        <v>100</v>
      </c>
      <c r="F243" s="63">
        <f t="shared" si="0"/>
        <v>72.765123537240001</v>
      </c>
    </row>
    <row r="244" spans="1:6" x14ac:dyDescent="0.25">
      <c r="A244" s="63" t="s">
        <v>20</v>
      </c>
      <c r="B244" s="63">
        <f>'basic scenarios'!D17</f>
        <v>4.1730668915899702E-2</v>
      </c>
      <c r="C244" s="63">
        <f>'basic scenarios'!J17</f>
        <v>3.04049952944088E-2</v>
      </c>
      <c r="E244" s="63">
        <v>100</v>
      </c>
      <c r="F244" s="63">
        <f t="shared" si="0"/>
        <v>72.860071703342058</v>
      </c>
    </row>
    <row r="245" spans="1:6" x14ac:dyDescent="0.25">
      <c r="A245" s="63" t="s">
        <v>21</v>
      </c>
      <c r="B245" s="63">
        <f>'basic scenarios'!D18</f>
        <v>134.88454352148401</v>
      </c>
      <c r="C245" s="63">
        <f>'basic scenarios'!J18</f>
        <v>98.2206419492327</v>
      </c>
      <c r="E245" s="63">
        <v>100</v>
      </c>
      <c r="F245" s="63">
        <f t="shared" si="0"/>
        <v>72.818307705944392</v>
      </c>
    </row>
    <row r="246" spans="1:6" x14ac:dyDescent="0.25">
      <c r="A246" s="63" t="s">
        <v>22</v>
      </c>
      <c r="B246" s="63">
        <f>'basic scenarios'!D19</f>
        <v>6.0836769635857699E-2</v>
      </c>
      <c r="C246" s="63">
        <f>'basic scenarios'!J19</f>
        <v>4.4295950236769903E-2</v>
      </c>
      <c r="E246" s="63">
        <v>100</v>
      </c>
      <c r="F246" s="63">
        <f t="shared" si="0"/>
        <v>72.811147767881309</v>
      </c>
    </row>
    <row r="247" spans="1:6" x14ac:dyDescent="0.25">
      <c r="A247" s="63" t="s">
        <v>23</v>
      </c>
      <c r="B247" s="63">
        <f>'basic scenarios'!D20</f>
        <v>6.0121987473433502E-3</v>
      </c>
      <c r="C247" s="63">
        <f>'basic scenarios'!J20</f>
        <v>4.3787464523515496E-3</v>
      </c>
      <c r="E247" s="63">
        <v>100</v>
      </c>
      <c r="F247" s="63">
        <f t="shared" si="0"/>
        <v>72.831032977517836</v>
      </c>
    </row>
    <row r="248" spans="1:6" x14ac:dyDescent="0.25">
      <c r="A248" s="63" t="s">
        <v>24</v>
      </c>
      <c r="B248" s="63">
        <f>'basic scenarios'!D21</f>
        <v>1.1098388880793899E-3</v>
      </c>
      <c r="C248" s="63">
        <f>'basic scenarios'!J21</f>
        <v>8.1307817021025101E-4</v>
      </c>
      <c r="E248" s="63">
        <v>100</v>
      </c>
      <c r="F248" s="63">
        <f t="shared" si="0"/>
        <v>73.260919124694539</v>
      </c>
    </row>
    <row r="249" spans="1:6" x14ac:dyDescent="0.25">
      <c r="A249" s="63" t="s">
        <v>25</v>
      </c>
      <c r="B249" s="63">
        <f>'basic scenarios'!D22</f>
        <v>4.2897471475338202E-3</v>
      </c>
      <c r="C249" s="63">
        <f>'basic scenarios'!J22</f>
        <v>3.1269398099514601E-3</v>
      </c>
      <c r="E249" s="63">
        <v>100</v>
      </c>
      <c r="F249" s="63">
        <f t="shared" si="0"/>
        <v>72.893336189969631</v>
      </c>
    </row>
    <row r="250" spans="1:6" x14ac:dyDescent="0.25">
      <c r="E250" s="63"/>
    </row>
    <row r="252" spans="1:6" x14ac:dyDescent="0.25">
      <c r="A252" s="63"/>
      <c r="B252" s="63"/>
      <c r="C252" s="63"/>
    </row>
    <row r="253" spans="1:6" x14ac:dyDescent="0.25">
      <c r="A253" s="3"/>
      <c r="B253" s="64"/>
      <c r="C253" s="64"/>
      <c r="F253" s="64"/>
    </row>
    <row r="254" spans="1:6" x14ac:dyDescent="0.25">
      <c r="A254" s="63"/>
      <c r="B254" s="64"/>
      <c r="C254" s="64"/>
      <c r="E254" s="63"/>
      <c r="F254" s="64"/>
    </row>
    <row r="255" spans="1:6" x14ac:dyDescent="0.25">
      <c r="A255" s="63"/>
      <c r="B255" s="64"/>
      <c r="C255" s="64"/>
      <c r="E255" s="63"/>
      <c r="F255" s="64"/>
    </row>
    <row r="256" spans="1:6" x14ac:dyDescent="0.25">
      <c r="A256" s="63"/>
      <c r="B256" s="64"/>
      <c r="C256" s="64"/>
      <c r="E256" s="63"/>
      <c r="F256" s="64"/>
    </row>
    <row r="257" spans="1:6" x14ac:dyDescent="0.25">
      <c r="A257" s="63"/>
      <c r="B257" s="64"/>
      <c r="C257" s="64"/>
      <c r="E257" s="63"/>
      <c r="F257" s="64"/>
    </row>
    <row r="258" spans="1:6" x14ac:dyDescent="0.25">
      <c r="A258" s="63"/>
      <c r="B258" s="64"/>
      <c r="C258" s="64"/>
      <c r="E258" s="63"/>
      <c r="F258" s="64"/>
    </row>
    <row r="259" spans="1:6" x14ac:dyDescent="0.25">
      <c r="A259" s="63"/>
      <c r="B259" s="64"/>
      <c r="C259" s="64"/>
      <c r="E259" s="63"/>
      <c r="F259" s="64"/>
    </row>
    <row r="260" spans="1:6" x14ac:dyDescent="0.25">
      <c r="A260" s="63"/>
      <c r="B260" s="64"/>
      <c r="C260" s="64"/>
      <c r="E260" s="63"/>
      <c r="F260" s="64"/>
    </row>
    <row r="261" spans="1:6" x14ac:dyDescent="0.25">
      <c r="A261" s="63"/>
      <c r="B261" s="64"/>
      <c r="C261" s="64"/>
      <c r="E261" s="63"/>
      <c r="F261" s="64"/>
    </row>
    <row r="262" spans="1:6" x14ac:dyDescent="0.25">
      <c r="A262" s="63"/>
      <c r="B262" s="64"/>
      <c r="C262" s="64"/>
      <c r="E262" s="63"/>
      <c r="F262" s="64"/>
    </row>
    <row r="263" spans="1:6" x14ac:dyDescent="0.25">
      <c r="A263" s="63"/>
      <c r="B263" s="64"/>
      <c r="C263" s="64"/>
      <c r="E263" s="63"/>
      <c r="F263" s="64"/>
    </row>
    <row r="264" spans="1:6" x14ac:dyDescent="0.25">
      <c r="A264" s="63"/>
      <c r="B264" s="64"/>
      <c r="C264" s="64"/>
      <c r="E264" s="63"/>
      <c r="F264" s="64"/>
    </row>
    <row r="265" spans="1:6" x14ac:dyDescent="0.25">
      <c r="A265" s="63"/>
      <c r="B265" s="64"/>
      <c r="C265" s="64"/>
      <c r="E265" s="63"/>
      <c r="F265" s="64"/>
    </row>
    <row r="266" spans="1:6" x14ac:dyDescent="0.25">
      <c r="A266" s="63"/>
      <c r="B266" s="64"/>
      <c r="C266" s="64"/>
      <c r="E266" s="63"/>
      <c r="F266" s="64"/>
    </row>
    <row r="267" spans="1:6" x14ac:dyDescent="0.25">
      <c r="A267" s="63"/>
      <c r="B267" s="64"/>
      <c r="C267" s="64"/>
      <c r="E267" s="63"/>
      <c r="F267" s="64"/>
    </row>
    <row r="268" spans="1:6" x14ac:dyDescent="0.25">
      <c r="A268" s="63"/>
      <c r="B268" s="64"/>
      <c r="C268" s="64"/>
      <c r="E268" s="63"/>
      <c r="F268" s="64"/>
    </row>
    <row r="269" spans="1:6" x14ac:dyDescent="0.25">
      <c r="A269" s="63"/>
      <c r="B269" s="64"/>
      <c r="C269" s="64"/>
      <c r="E269" s="63"/>
      <c r="F269" s="6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"/>
  <sheetViews>
    <sheetView topLeftCell="C34" workbookViewId="0">
      <selection activeCell="F13" sqref="F13"/>
    </sheetView>
  </sheetViews>
  <sheetFormatPr defaultRowHeight="15" x14ac:dyDescent="0.25"/>
  <cols>
    <col min="1" max="1" width="13.7109375" bestFit="1" customWidth="1"/>
    <col min="2" max="2" width="4.28515625" customWidth="1"/>
    <col min="3" max="3" width="38.28515625" bestFit="1" customWidth="1"/>
    <col min="4" max="5" width="27.85546875" bestFit="1" customWidth="1"/>
    <col min="6" max="6" width="19.5703125" bestFit="1" customWidth="1"/>
    <col min="7" max="7" width="18.42578125" bestFit="1" customWidth="1"/>
    <col min="8" max="8" width="19.42578125" bestFit="1" customWidth="1"/>
    <col min="9" max="9" width="12" customWidth="1"/>
    <col min="10" max="10" width="31.7109375" customWidth="1"/>
    <col min="11" max="11" width="33.140625" customWidth="1"/>
    <col min="12" max="12" width="22.140625" customWidth="1"/>
    <col min="13" max="13" width="12" bestFit="1" customWidth="1"/>
    <col min="14" max="14" width="13.5703125" bestFit="1" customWidth="1"/>
    <col min="15" max="15" width="13.28515625" customWidth="1"/>
    <col min="16" max="16" width="19.7109375" customWidth="1"/>
    <col min="17" max="17" width="10.5703125" bestFit="1" customWidth="1"/>
    <col min="24" max="24" width="20.5703125" bestFit="1" customWidth="1"/>
    <col min="25" max="25" width="24.28515625" customWidth="1"/>
    <col min="27" max="27" width="11.85546875" customWidth="1"/>
    <col min="28" max="28" width="17.28515625" customWidth="1"/>
    <col min="29" max="29" width="19.7109375" bestFit="1" customWidth="1"/>
    <col min="30" max="30" width="9.140625" customWidth="1"/>
  </cols>
  <sheetData>
    <row r="1" spans="1:30" x14ac:dyDescent="0.25">
      <c r="A1" s="4"/>
      <c r="B1" s="4"/>
      <c r="C1" s="4" t="s">
        <v>6</v>
      </c>
      <c r="D1" s="4">
        <v>100</v>
      </c>
      <c r="E1" s="4"/>
      <c r="F1" s="4"/>
      <c r="G1" s="4"/>
      <c r="H1" s="4"/>
      <c r="I1" s="4"/>
    </row>
    <row r="2" spans="1:30" x14ac:dyDescent="0.25">
      <c r="A2" s="4" t="s">
        <v>0</v>
      </c>
      <c r="B2" s="4"/>
      <c r="C2" s="5" t="s">
        <v>7</v>
      </c>
      <c r="D2" s="4">
        <f>1000000</f>
        <v>1000000</v>
      </c>
      <c r="E2" s="4"/>
      <c r="F2" s="4"/>
      <c r="G2" s="4"/>
      <c r="H2" s="4"/>
      <c r="I2" s="4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x14ac:dyDescent="0.25">
      <c r="A4" s="4"/>
      <c r="B4" s="4"/>
      <c r="C4" s="6" t="s">
        <v>8</v>
      </c>
      <c r="D4" s="4"/>
      <c r="E4" s="4"/>
      <c r="F4" s="6" t="s">
        <v>51</v>
      </c>
      <c r="G4" s="4"/>
      <c r="H4" s="4"/>
      <c r="I4" s="4"/>
      <c r="L4" s="2" t="s">
        <v>52</v>
      </c>
    </row>
    <row r="5" spans="1:30" x14ac:dyDescent="0.25">
      <c r="A5" s="4"/>
      <c r="B5" s="4"/>
      <c r="D5" t="s">
        <v>53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  <c r="Q5" t="s">
        <v>68</v>
      </c>
      <c r="R5" t="s">
        <v>69</v>
      </c>
      <c r="S5" t="s">
        <v>70</v>
      </c>
      <c r="T5" t="s">
        <v>71</v>
      </c>
      <c r="U5" t="s">
        <v>72</v>
      </c>
      <c r="V5" t="s">
        <v>73</v>
      </c>
      <c r="W5" t="s">
        <v>74</v>
      </c>
      <c r="X5" t="s">
        <v>75</v>
      </c>
      <c r="Y5" t="s">
        <v>76</v>
      </c>
      <c r="Z5" t="s">
        <v>77</v>
      </c>
      <c r="AA5" t="s">
        <v>78</v>
      </c>
      <c r="AB5" t="s">
        <v>79</v>
      </c>
      <c r="AC5" t="s">
        <v>80</v>
      </c>
      <c r="AD5" t="s">
        <v>81</v>
      </c>
    </row>
    <row r="6" spans="1:30" x14ac:dyDescent="0.25">
      <c r="A6" s="4"/>
      <c r="B6" s="4"/>
      <c r="C6" s="3" t="s">
        <v>9</v>
      </c>
      <c r="D6">
        <v>9.0595144808150701E-4</v>
      </c>
      <c r="E6" s="1">
        <v>6.6482471001671504E-6</v>
      </c>
      <c r="F6">
        <v>7.0157328790282304E-4</v>
      </c>
      <c r="G6" s="1">
        <v>1.2078640247796101E-7</v>
      </c>
      <c r="H6" s="1">
        <v>5.7527611962184797E-7</v>
      </c>
      <c r="I6" s="1">
        <v>2.21010532656832E-6</v>
      </c>
      <c r="J6" s="1">
        <v>2.2634633574309098E-9</v>
      </c>
      <c r="K6" s="1">
        <v>1.7757562713031999E-8</v>
      </c>
      <c r="L6" s="1">
        <v>8.7969082438099997E-9</v>
      </c>
      <c r="M6" s="1">
        <v>7.7181964160280004E-10</v>
      </c>
      <c r="N6" s="1">
        <v>1.4639230918277299E-5</v>
      </c>
      <c r="O6">
        <v>0</v>
      </c>
      <c r="P6">
        <v>0</v>
      </c>
      <c r="Q6">
        <v>0</v>
      </c>
      <c r="R6">
        <v>0</v>
      </c>
      <c r="S6">
        <v>0</v>
      </c>
      <c r="T6" s="1">
        <v>4.4985545814626399E-9</v>
      </c>
      <c r="U6" s="1">
        <v>4.3692067439926298E-8</v>
      </c>
      <c r="V6" s="1">
        <v>9.1266377496659406E-8</v>
      </c>
      <c r="W6" s="1">
        <v>4.8406384298335503E-7</v>
      </c>
      <c r="X6" s="1">
        <v>5.4989222288892996E-6</v>
      </c>
      <c r="Y6" s="1">
        <v>7.7028921259158697E-7</v>
      </c>
      <c r="Z6">
        <v>1.7199127652505901E-4</v>
      </c>
      <c r="AA6" s="1">
        <v>8.8453016964861296E-7</v>
      </c>
      <c r="AB6" s="1">
        <v>2.8264407176399999E-8</v>
      </c>
      <c r="AC6" s="1">
        <v>4.6253584809100097E-8</v>
      </c>
      <c r="AD6" s="1">
        <v>3.1186758694036198E-7</v>
      </c>
    </row>
    <row r="7" spans="1:30" x14ac:dyDescent="0.25">
      <c r="A7" s="4"/>
      <c r="B7" s="4"/>
      <c r="C7" t="s">
        <v>10</v>
      </c>
      <c r="D7">
        <v>0.71836821496199499</v>
      </c>
      <c r="E7">
        <v>1.16700499423801E-3</v>
      </c>
      <c r="F7">
        <v>0.713934332456163</v>
      </c>
      <c r="G7" s="1">
        <v>2.5001666513386099E-5</v>
      </c>
      <c r="H7">
        <v>1.46742940431169E-4</v>
      </c>
      <c r="I7">
        <v>3.2267986591282401E-4</v>
      </c>
      <c r="J7" s="1">
        <v>3.0620164519548399E-7</v>
      </c>
      <c r="K7">
        <v>2.4721103682902198E-4</v>
      </c>
      <c r="L7" s="1">
        <v>1.06701146024866E-6</v>
      </c>
      <c r="M7" s="1">
        <v>9.7221185379394598E-6</v>
      </c>
      <c r="N7">
        <v>3.0370127008949398E-4</v>
      </c>
      <c r="O7">
        <v>0</v>
      </c>
      <c r="P7">
        <v>0</v>
      </c>
      <c r="Q7">
        <v>0</v>
      </c>
      <c r="R7">
        <v>0</v>
      </c>
      <c r="S7">
        <v>0</v>
      </c>
      <c r="T7" s="1">
        <v>1.4102080644795E-5</v>
      </c>
      <c r="U7" s="1">
        <v>1.8920914204797699E-6</v>
      </c>
      <c r="V7" s="1">
        <v>9.9278154874133792E-6</v>
      </c>
      <c r="W7">
        <v>9.8676056062117702E-4</v>
      </c>
      <c r="X7">
        <v>2.2283095124035101E-4</v>
      </c>
      <c r="Y7">
        <v>7.5087253051510199E-4</v>
      </c>
      <c r="Z7" s="1">
        <v>1.7988643879274199E-5</v>
      </c>
      <c r="AA7" s="1">
        <v>6.3258882616397703E-5</v>
      </c>
      <c r="AB7" s="1">
        <v>8.3563354182628199E-5</v>
      </c>
      <c r="AC7" s="1">
        <v>7.2393240246735498E-6</v>
      </c>
      <c r="AD7" s="1">
        <v>5.2009165542850203E-5</v>
      </c>
    </row>
    <row r="8" spans="1:30" x14ac:dyDescent="0.25">
      <c r="A8" s="4"/>
      <c r="B8" s="4"/>
      <c r="C8" t="s">
        <v>11</v>
      </c>
      <c r="D8">
        <v>126.827883859176</v>
      </c>
      <c r="E8">
        <v>0.206049951447623</v>
      </c>
      <c r="F8">
        <v>126.044941179072</v>
      </c>
      <c r="G8">
        <v>4.4178674164102403E-3</v>
      </c>
      <c r="H8">
        <v>2.5912248037097501E-2</v>
      </c>
      <c r="I8">
        <v>5.6973076327395997E-2</v>
      </c>
      <c r="J8" s="1">
        <v>5.40613363644429E-5</v>
      </c>
      <c r="K8">
        <v>4.3643853558885802E-2</v>
      </c>
      <c r="L8">
        <v>1.88530968564033E-4</v>
      </c>
      <c r="M8">
        <v>1.7164121363876499E-3</v>
      </c>
      <c r="N8">
        <v>5.3626291829420601E-2</v>
      </c>
      <c r="O8">
        <v>0</v>
      </c>
      <c r="P8">
        <v>0</v>
      </c>
      <c r="Q8">
        <v>0</v>
      </c>
      <c r="R8">
        <v>0</v>
      </c>
      <c r="S8">
        <v>0</v>
      </c>
      <c r="T8">
        <v>2.49033458640034E-3</v>
      </c>
      <c r="U8">
        <v>3.3409068723512801E-4</v>
      </c>
      <c r="V8">
        <v>1.7530973666724E-3</v>
      </c>
      <c r="W8">
        <v>0.174300230092582</v>
      </c>
      <c r="X8">
        <v>3.9343205398262901E-2</v>
      </c>
      <c r="Y8">
        <v>0.132572852230156</v>
      </c>
      <c r="Z8">
        <v>3.1762225466404601E-3</v>
      </c>
      <c r="AA8">
        <v>1.11726325272682E-2</v>
      </c>
      <c r="AB8">
        <v>1.4757173260534299E-2</v>
      </c>
      <c r="AC8">
        <v>1.27812561036879E-3</v>
      </c>
      <c r="AD8">
        <v>9.1824227396356799E-3</v>
      </c>
    </row>
    <row r="9" spans="1:30" x14ac:dyDescent="0.25">
      <c r="A9" s="4"/>
      <c r="B9" s="4"/>
      <c r="C9" t="s">
        <v>12</v>
      </c>
      <c r="D9">
        <v>512740661.23233902</v>
      </c>
      <c r="E9">
        <v>1029018.17432566</v>
      </c>
      <c r="F9">
        <v>509102103.77530497</v>
      </c>
      <c r="G9">
        <v>3211.6391761749801</v>
      </c>
      <c r="H9">
        <v>122304.44220870201</v>
      </c>
      <c r="I9">
        <v>312579.15816214302</v>
      </c>
      <c r="J9">
        <v>234.06202806856899</v>
      </c>
      <c r="K9">
        <v>851.44895652416801</v>
      </c>
      <c r="L9">
        <v>233.92332257609101</v>
      </c>
      <c r="M9">
        <v>52.3999914071183</v>
      </c>
      <c r="N9">
        <v>208140.35085552701</v>
      </c>
      <c r="O9">
        <v>0</v>
      </c>
      <c r="P9">
        <v>0</v>
      </c>
      <c r="Q9">
        <v>0</v>
      </c>
      <c r="R9">
        <v>0</v>
      </c>
      <c r="S9">
        <v>0</v>
      </c>
      <c r="T9">
        <v>20302.083971082298</v>
      </c>
      <c r="U9">
        <v>2275.3889031559802</v>
      </c>
      <c r="V9">
        <v>15765.076289328101</v>
      </c>
      <c r="W9">
        <v>896011.56580303097</v>
      </c>
      <c r="X9">
        <v>185191.19808604801</v>
      </c>
      <c r="Y9">
        <v>646857.55928222602</v>
      </c>
      <c r="Z9">
        <v>6009.4703402067598</v>
      </c>
      <c r="AA9">
        <v>46364.471628146603</v>
      </c>
      <c r="AB9">
        <v>98611.113955774505</v>
      </c>
      <c r="AC9">
        <v>4687.0154467674301</v>
      </c>
      <c r="AD9">
        <v>39856.914301179997</v>
      </c>
    </row>
    <row r="10" spans="1:30" x14ac:dyDescent="0.25">
      <c r="A10" s="4"/>
      <c r="B10" s="4"/>
      <c r="C10" t="s">
        <v>13</v>
      </c>
      <c r="D10" s="1">
        <v>1.11041891245007E-5</v>
      </c>
      <c r="E10" s="1">
        <v>1.32618658548942E-8</v>
      </c>
      <c r="F10" s="1">
        <v>1.03483743655574E-5</v>
      </c>
      <c r="G10" s="1">
        <v>4.7684105463054296E-7</v>
      </c>
      <c r="H10" s="1">
        <v>6.17169038599719E-9</v>
      </c>
      <c r="I10" s="1">
        <v>2.51560403814707E-9</v>
      </c>
      <c r="J10" s="1">
        <v>1.14101619262195E-11</v>
      </c>
      <c r="K10" s="1">
        <v>1.02845091242053E-7</v>
      </c>
      <c r="L10" s="1">
        <v>8.4607842837867401E-9</v>
      </c>
      <c r="M10" s="1">
        <v>2.35486842258306E-11</v>
      </c>
      <c r="N10" s="1">
        <v>1.9840495749224E-9</v>
      </c>
      <c r="O10" s="1">
        <v>3.8007823529411699E-12</v>
      </c>
      <c r="P10">
        <v>0</v>
      </c>
      <c r="Q10">
        <v>0</v>
      </c>
      <c r="R10">
        <v>0</v>
      </c>
      <c r="S10">
        <v>0</v>
      </c>
      <c r="T10" s="1">
        <v>3.1878272973725002E-9</v>
      </c>
      <c r="U10" s="1">
        <v>1.20215626120873E-10</v>
      </c>
      <c r="V10" s="1">
        <v>2.3600758304847599E-10</v>
      </c>
      <c r="W10" s="1">
        <v>2.97809668546061E-8</v>
      </c>
      <c r="X10" s="1">
        <v>1.0174737600889799E-7</v>
      </c>
      <c r="Y10" s="1">
        <v>2.2801757929188701E-9</v>
      </c>
      <c r="Z10" s="1">
        <v>1.0393460700389201E-9</v>
      </c>
      <c r="AA10" s="1">
        <v>1.66411365032169E-9</v>
      </c>
      <c r="AB10" s="1">
        <v>1.33575416499526E-9</v>
      </c>
      <c r="AC10" s="1">
        <v>1.95051155869081E-10</v>
      </c>
      <c r="AD10" s="1">
        <v>2.1090251002396398E-9</v>
      </c>
    </row>
    <row r="11" spans="1:30" x14ac:dyDescent="0.25">
      <c r="A11" s="4"/>
      <c r="B11" s="4"/>
      <c r="C11" t="s">
        <v>14</v>
      </c>
      <c r="D11" s="1">
        <v>9.9590343104425493E-6</v>
      </c>
      <c r="E11" s="1">
        <v>2.2108893258782401E-8</v>
      </c>
      <c r="F11" s="1">
        <v>9.7418413369881102E-6</v>
      </c>
      <c r="G11" s="1">
        <v>1.12157443361655E-10</v>
      </c>
      <c r="H11" s="1">
        <v>6.6095354638622303E-9</v>
      </c>
      <c r="I11" s="1">
        <v>1.3885477685816299E-8</v>
      </c>
      <c r="J11" s="1">
        <v>1.1967093196314401E-11</v>
      </c>
      <c r="K11" s="1">
        <v>2.58183874564499E-10</v>
      </c>
      <c r="L11" s="1">
        <v>8.1632124204976104E-12</v>
      </c>
      <c r="M11" s="1">
        <v>1.6642773259558201E-10</v>
      </c>
      <c r="N11" s="1">
        <v>1.8393840239966499E-9</v>
      </c>
      <c r="O11">
        <v>0</v>
      </c>
      <c r="P11">
        <v>0</v>
      </c>
      <c r="Q11">
        <v>0</v>
      </c>
      <c r="R11">
        <v>0</v>
      </c>
      <c r="S11">
        <v>0</v>
      </c>
      <c r="T11" s="1">
        <v>5.2278499055129998E-9</v>
      </c>
      <c r="U11" s="1">
        <v>1.5499357109243999E-10</v>
      </c>
      <c r="V11" s="1">
        <v>3.5914505384934999E-10</v>
      </c>
      <c r="W11" s="1">
        <v>1.1710894505131901E-7</v>
      </c>
      <c r="X11" s="1">
        <v>3.7358411455211697E-8</v>
      </c>
      <c r="Y11" s="1">
        <v>3.91990915353173E-9</v>
      </c>
      <c r="Z11" s="1">
        <v>3.8232645037986198E-10</v>
      </c>
      <c r="AA11" s="1">
        <v>2.0089754991796102E-9</v>
      </c>
      <c r="AB11" s="1">
        <v>3.4439228818400801E-9</v>
      </c>
      <c r="AC11" s="1">
        <v>2.8040771409957298E-10</v>
      </c>
      <c r="AD11" s="1">
        <v>1.9478969298271102E-9</v>
      </c>
    </row>
    <row r="12" spans="1:30" x14ac:dyDescent="0.25">
      <c r="A12" s="4"/>
      <c r="B12" s="4"/>
      <c r="C12" t="s">
        <v>15</v>
      </c>
      <c r="D12">
        <v>0.73679092277331604</v>
      </c>
      <c r="E12">
        <v>2.6872654411844799E-3</v>
      </c>
      <c r="F12">
        <v>0.72044184753106</v>
      </c>
      <c r="G12">
        <v>7.5751911772891298E-3</v>
      </c>
      <c r="H12">
        <v>3.52093564967868E-4</v>
      </c>
      <c r="I12">
        <v>1.6850196502987401E-4</v>
      </c>
      <c r="J12" s="1">
        <v>5.0274671981997504E-7</v>
      </c>
      <c r="K12">
        <v>2.0777819084642699E-3</v>
      </c>
      <c r="L12">
        <v>2.2307763812643301E-4</v>
      </c>
      <c r="M12" s="1">
        <v>6.2492102793458198E-6</v>
      </c>
      <c r="N12">
        <v>3.8295115654254198E-4</v>
      </c>
      <c r="O12" s="1">
        <v>8.3217129411764602E-5</v>
      </c>
      <c r="P12">
        <v>0</v>
      </c>
      <c r="Q12">
        <v>0</v>
      </c>
      <c r="R12">
        <v>0</v>
      </c>
      <c r="S12">
        <v>0</v>
      </c>
      <c r="T12" s="1">
        <v>5.3676844364337098E-6</v>
      </c>
      <c r="U12" s="1">
        <v>3.6864224501220099E-6</v>
      </c>
      <c r="V12" s="1">
        <v>7.8394188650629693E-6</v>
      </c>
      <c r="W12">
        <v>1.2286525683080001E-3</v>
      </c>
      <c r="X12">
        <v>9.4477699668398495E-4</v>
      </c>
      <c r="Y12">
        <v>1.9661542612468E-4</v>
      </c>
      <c r="Z12" s="1">
        <v>9.8407190955427897E-5</v>
      </c>
      <c r="AA12">
        <v>1.8901258149677501E-4</v>
      </c>
      <c r="AB12" s="1">
        <v>4.1513743101805899E-5</v>
      </c>
      <c r="AC12" s="1">
        <v>8.5800320009051903E-6</v>
      </c>
      <c r="AD12" s="1">
        <v>6.7791239817320301E-5</v>
      </c>
    </row>
    <row r="13" spans="1:30" x14ac:dyDescent="0.25">
      <c r="A13" s="4"/>
      <c r="B13" s="4"/>
      <c r="C13" t="s">
        <v>16</v>
      </c>
      <c r="D13">
        <v>10690.797069825599</v>
      </c>
      <c r="E13">
        <v>336.634353575695</v>
      </c>
      <c r="F13">
        <v>10219.9611544048</v>
      </c>
      <c r="G13">
        <v>0.37375502177214498</v>
      </c>
      <c r="H13">
        <v>28.116938772871301</v>
      </c>
      <c r="I13">
        <v>31.733961763195701</v>
      </c>
      <c r="J13">
        <v>0.11619440629097499</v>
      </c>
      <c r="K13">
        <v>0.13965561340179999</v>
      </c>
      <c r="L13">
        <v>2.63781839870958E-2</v>
      </c>
      <c r="M13">
        <v>5.2659695597784498E-3</v>
      </c>
      <c r="N13">
        <v>18.6242965037289</v>
      </c>
      <c r="O13">
        <v>0</v>
      </c>
      <c r="P13">
        <v>0</v>
      </c>
      <c r="Q13">
        <v>0</v>
      </c>
      <c r="R13">
        <v>0</v>
      </c>
      <c r="S13">
        <v>0</v>
      </c>
      <c r="T13">
        <v>1.4541919760943801E-3</v>
      </c>
      <c r="U13">
        <v>0.27759452599759199</v>
      </c>
      <c r="V13">
        <v>0.53834228793606198</v>
      </c>
      <c r="W13">
        <v>0.27940956607708101</v>
      </c>
      <c r="X13">
        <v>24.913400070195401</v>
      </c>
      <c r="Y13">
        <v>16.277030313685799</v>
      </c>
      <c r="Z13">
        <v>1.85091456425968</v>
      </c>
      <c r="AA13">
        <v>6.6705648611133901</v>
      </c>
      <c r="AB13">
        <v>1.2213058063931701E-2</v>
      </c>
      <c r="AC13">
        <v>0.46126773734685</v>
      </c>
      <c r="AD13">
        <v>3.7829244337098098</v>
      </c>
    </row>
    <row r="14" spans="1:30" x14ac:dyDescent="0.25">
      <c r="A14" s="4"/>
      <c r="B14" s="4"/>
      <c r="C14" t="s">
        <v>17</v>
      </c>
      <c r="D14" s="1">
        <v>3.9178948763976297E-8</v>
      </c>
      <c r="E14" s="1">
        <v>4.4454676531998798E-11</v>
      </c>
      <c r="F14" s="1">
        <v>3.69226701779457E-8</v>
      </c>
      <c r="G14" s="1">
        <v>1.43600692239693E-9</v>
      </c>
      <c r="H14" s="1">
        <v>1.7800150808708699E-11</v>
      </c>
      <c r="I14" s="1">
        <v>5.0305136893982396E-12</v>
      </c>
      <c r="J14" s="1">
        <v>3.1452383855486899E-14</v>
      </c>
      <c r="K14" s="1">
        <v>3.1109779771569298E-10</v>
      </c>
      <c r="L14" s="1">
        <v>2.20461405035402E-11</v>
      </c>
      <c r="M14" s="1">
        <v>7.1639073311743196E-14</v>
      </c>
      <c r="N14" s="1">
        <v>7.9965603393156697E-12</v>
      </c>
      <c r="O14" s="1">
        <v>4.7769832941176403E-14</v>
      </c>
      <c r="P14">
        <v>0</v>
      </c>
      <c r="Q14">
        <v>0</v>
      </c>
      <c r="R14">
        <v>0</v>
      </c>
      <c r="S14">
        <v>0</v>
      </c>
      <c r="T14" s="1">
        <v>8.3558177909606902E-13</v>
      </c>
      <c r="U14" s="1">
        <v>3.43667622584411E-13</v>
      </c>
      <c r="V14" s="1">
        <v>5.78053720442318E-13</v>
      </c>
      <c r="W14" s="1">
        <v>5.9766260789675394E-11</v>
      </c>
      <c r="X14" s="1">
        <v>3.0774744466797098E-10</v>
      </c>
      <c r="Y14" s="1">
        <v>2.3721253469571201E-11</v>
      </c>
      <c r="Z14" s="1">
        <v>2.9074470188121999E-12</v>
      </c>
      <c r="AA14" s="1">
        <v>6.6025659592174504E-12</v>
      </c>
      <c r="AB14" s="1">
        <v>2.82632623565199E-12</v>
      </c>
      <c r="AC14" s="1">
        <v>6.2754754683326301E-13</v>
      </c>
      <c r="AD14" s="1">
        <v>5.7388139451012099E-12</v>
      </c>
    </row>
    <row r="15" spans="1:30" x14ac:dyDescent="0.25">
      <c r="A15" s="4"/>
      <c r="B15" s="4"/>
      <c r="C15" t="s">
        <v>18</v>
      </c>
      <c r="D15">
        <v>32147.4792114677</v>
      </c>
      <c r="E15">
        <v>138.75031230794201</v>
      </c>
      <c r="F15">
        <v>29968.810760187102</v>
      </c>
      <c r="G15">
        <v>1.75154098671341</v>
      </c>
      <c r="H15">
        <v>12.0674794707171</v>
      </c>
      <c r="I15">
        <v>86.683532970660906</v>
      </c>
      <c r="J15">
        <v>0.282559543356936</v>
      </c>
      <c r="K15">
        <v>1.2146239255714399</v>
      </c>
      <c r="L15">
        <v>0.12727661308875199</v>
      </c>
      <c r="M15">
        <v>8.3966213547183505E-2</v>
      </c>
      <c r="N15">
        <v>21.7507322686699</v>
      </c>
      <c r="O15">
        <v>0</v>
      </c>
      <c r="P15">
        <v>0</v>
      </c>
      <c r="Q15">
        <v>0</v>
      </c>
      <c r="R15">
        <v>0</v>
      </c>
      <c r="S15">
        <v>0</v>
      </c>
      <c r="T15">
        <v>9.61081213560291E-2</v>
      </c>
      <c r="U15">
        <v>1.3977919735943201</v>
      </c>
      <c r="V15">
        <v>3.1814551076798101</v>
      </c>
      <c r="W15">
        <v>10.834186530216201</v>
      </c>
      <c r="X15">
        <v>1806.3980600960699</v>
      </c>
      <c r="Y15">
        <v>33.277080960020399</v>
      </c>
      <c r="Z15">
        <v>4.7947388250805503</v>
      </c>
      <c r="AA15">
        <v>25.575767505934799</v>
      </c>
      <c r="AB15">
        <v>2.4411922602356499</v>
      </c>
      <c r="AC15">
        <v>2.3294804917394201</v>
      </c>
      <c r="AD15">
        <v>25.630565108487598</v>
      </c>
    </row>
    <row r="16" spans="1:30" x14ac:dyDescent="0.25">
      <c r="A16" s="4"/>
      <c r="B16" s="4"/>
      <c r="C16" t="s">
        <v>19</v>
      </c>
      <c r="D16">
        <v>8.33527117267618E-2</v>
      </c>
      <c r="E16" s="1">
        <v>9.428469981828E-6</v>
      </c>
      <c r="F16">
        <v>8.32707687224679E-2</v>
      </c>
      <c r="G16" s="1">
        <v>-1.77495764308873E-6</v>
      </c>
      <c r="H16" s="1">
        <v>7.8104364900265996E-7</v>
      </c>
      <c r="I16" s="1">
        <v>7.9986979311433108E-6</v>
      </c>
      <c r="J16" s="1">
        <v>4.2887022612905397E-8</v>
      </c>
      <c r="K16" s="1">
        <v>4.4568528410087E-8</v>
      </c>
      <c r="L16" s="1">
        <v>-1.2938046439484401E-7</v>
      </c>
      <c r="M16" s="1">
        <v>4.1488568273613301E-9</v>
      </c>
      <c r="N16" s="1">
        <v>6.4363840100593898E-6</v>
      </c>
      <c r="O16">
        <v>0</v>
      </c>
      <c r="P16">
        <v>0</v>
      </c>
      <c r="Q16">
        <v>0</v>
      </c>
      <c r="R16">
        <v>0</v>
      </c>
      <c r="S16">
        <v>0</v>
      </c>
      <c r="T16" s="1">
        <v>-6.1420354550111303E-10</v>
      </c>
      <c r="U16" s="1">
        <v>1.4414216052635601E-7</v>
      </c>
      <c r="V16" s="1">
        <v>8.7881568899759306E-8</v>
      </c>
      <c r="W16" s="1">
        <v>-1.8876393304655799E-7</v>
      </c>
      <c r="X16" s="1">
        <v>1.0216943749965101E-5</v>
      </c>
      <c r="Y16" s="1">
        <v>3.7780929933324797E-5</v>
      </c>
      <c r="Z16" s="1">
        <v>2.50464298994953E-6</v>
      </c>
      <c r="AA16" s="1">
        <v>1.29071838026547E-6</v>
      </c>
      <c r="AB16" s="1">
        <v>-4.3902729560609998E-9</v>
      </c>
      <c r="AC16" s="1">
        <v>1.5815751010956499E-6</v>
      </c>
      <c r="AD16" s="1">
        <v>5.6980769470114104E-6</v>
      </c>
    </row>
    <row r="17" spans="1:30" x14ac:dyDescent="0.25">
      <c r="A17" s="4"/>
      <c r="B17" s="4"/>
      <c r="C17" t="s">
        <v>20</v>
      </c>
      <c r="D17">
        <v>3.04049952944088E-2</v>
      </c>
      <c r="E17" s="1">
        <v>1.5312880914701599E-5</v>
      </c>
      <c r="F17">
        <v>3.03298577719123E-2</v>
      </c>
      <c r="G17" s="1">
        <v>2.28064609010321E-7</v>
      </c>
      <c r="H17" s="1">
        <v>1.2823547336843399E-6</v>
      </c>
      <c r="I17" s="1">
        <v>7.1312782917846904E-6</v>
      </c>
      <c r="J17" s="1">
        <v>1.5822871015688699E-8</v>
      </c>
      <c r="K17" s="1">
        <v>4.37007238989717E-8</v>
      </c>
      <c r="L17" s="1">
        <v>1.6615159472595599E-8</v>
      </c>
      <c r="M17" s="1">
        <v>2.71052879753218E-9</v>
      </c>
      <c r="N17" s="1">
        <v>4.1598227443534998E-6</v>
      </c>
      <c r="O17">
        <v>0</v>
      </c>
      <c r="P17">
        <v>0</v>
      </c>
      <c r="Q17">
        <v>0</v>
      </c>
      <c r="R17">
        <v>0</v>
      </c>
      <c r="S17">
        <v>0</v>
      </c>
      <c r="T17" s="1">
        <v>3.12452655039513E-10</v>
      </c>
      <c r="U17" s="1">
        <v>6.6811478520048294E-8</v>
      </c>
      <c r="V17" s="1">
        <v>5.2402049270862602E-8</v>
      </c>
      <c r="W17" s="1">
        <v>6.1147761235994701E-8</v>
      </c>
      <c r="X17" s="1">
        <v>5.5284417222806599E-6</v>
      </c>
      <c r="Y17" s="1">
        <v>3.5497755009378797E-5</v>
      </c>
      <c r="Z17" s="1">
        <v>2.3842194227109701E-7</v>
      </c>
      <c r="AA17" s="1">
        <v>2.4922598241902599E-6</v>
      </c>
      <c r="AB17" s="1">
        <v>1.0739835853896E-8</v>
      </c>
      <c r="AC17" s="1">
        <v>2.51127570187856E-7</v>
      </c>
      <c r="AD17" s="1">
        <v>2.7448522739595301E-6</v>
      </c>
    </row>
    <row r="18" spans="1:30" x14ac:dyDescent="0.25">
      <c r="A18" s="4"/>
      <c r="B18" s="4"/>
      <c r="C18" t="s">
        <v>21</v>
      </c>
      <c r="D18">
        <v>98.2206419492327</v>
      </c>
      <c r="E18">
        <v>3.9276068032471002E-2</v>
      </c>
      <c r="F18">
        <v>98.0198014549307</v>
      </c>
      <c r="G18">
        <v>2.6008262268855699E-4</v>
      </c>
      <c r="H18">
        <v>7.5277458869150802E-3</v>
      </c>
      <c r="I18">
        <v>7.0515256945781696E-3</v>
      </c>
      <c r="J18" s="1">
        <v>2.51182380696971E-5</v>
      </c>
      <c r="K18">
        <v>2.8819921864662099E-4</v>
      </c>
      <c r="L18" s="1">
        <v>1.8929044291706199E-5</v>
      </c>
      <c r="M18" s="1">
        <v>2.1509909832841801E-5</v>
      </c>
      <c r="N18">
        <v>7.0108609536814999E-3</v>
      </c>
      <c r="O18">
        <v>0</v>
      </c>
      <c r="P18">
        <v>0</v>
      </c>
      <c r="Q18">
        <v>0</v>
      </c>
      <c r="R18">
        <v>0</v>
      </c>
      <c r="S18">
        <v>0</v>
      </c>
      <c r="T18">
        <v>5.8024614742472605E-4</v>
      </c>
      <c r="U18" s="1">
        <v>9.7537948786917303E-5</v>
      </c>
      <c r="V18">
        <v>3.1612183969166699E-4</v>
      </c>
      <c r="W18">
        <v>0.10440040215744099</v>
      </c>
      <c r="X18">
        <v>1.9323624817788401E-2</v>
      </c>
      <c r="Y18">
        <v>6.8471671261796097E-3</v>
      </c>
      <c r="Z18">
        <v>5.7291499414501305E-4</v>
      </c>
      <c r="AA18">
        <v>1.64325343558159E-3</v>
      </c>
      <c r="AB18">
        <v>2.5419123889468E-3</v>
      </c>
      <c r="AC18">
        <v>7.3469605463317403E-4</v>
      </c>
      <c r="AD18">
        <v>2.3025777901951598E-3</v>
      </c>
    </row>
    <row r="19" spans="1:30" x14ac:dyDescent="0.25">
      <c r="A19" s="4"/>
      <c r="B19" s="4"/>
      <c r="C19" t="s">
        <v>22</v>
      </c>
      <c r="D19">
        <v>4.4295950236769903E-2</v>
      </c>
      <c r="E19" s="1">
        <v>1.37520505273337E-5</v>
      </c>
      <c r="F19">
        <v>4.4234846735386101E-2</v>
      </c>
      <c r="G19" s="1">
        <v>1.4984150007983599E-7</v>
      </c>
      <c r="H19" s="1">
        <v>2.2372782308303699E-6</v>
      </c>
      <c r="I19" s="1">
        <v>2.3693182350483301E-6</v>
      </c>
      <c r="J19" s="1">
        <v>1.24099234089687E-8</v>
      </c>
      <c r="K19" s="1">
        <v>1.64317126500174E-7</v>
      </c>
      <c r="L19" s="1">
        <v>9.73005314639469E-9</v>
      </c>
      <c r="M19" s="1">
        <v>1.2505285606527E-8</v>
      </c>
      <c r="N19" s="1">
        <v>1.8298451886206101E-6</v>
      </c>
      <c r="O19" s="1">
        <v>4.9530195294117604E-6</v>
      </c>
      <c r="P19">
        <v>0</v>
      </c>
      <c r="Q19">
        <v>0</v>
      </c>
      <c r="R19">
        <v>0</v>
      </c>
      <c r="S19">
        <v>0</v>
      </c>
      <c r="T19" s="1">
        <v>1.6941651705217599E-7</v>
      </c>
      <c r="U19" s="1">
        <v>2.55176273814302E-8</v>
      </c>
      <c r="V19" s="1">
        <v>1.27400568574445E-7</v>
      </c>
      <c r="W19" s="1">
        <v>2.6680800638328099E-5</v>
      </c>
      <c r="X19" s="1">
        <v>2.7461713832896401E-6</v>
      </c>
      <c r="Y19" s="1">
        <v>3.1243490776148298E-6</v>
      </c>
      <c r="Z19" s="1">
        <v>1.76510692531505E-7</v>
      </c>
      <c r="AA19" s="1">
        <v>4.6290425590726898E-7</v>
      </c>
      <c r="AB19" s="1">
        <v>7.7290389685469795E-7</v>
      </c>
      <c r="AC19" s="1">
        <v>3.97292558162051E-7</v>
      </c>
      <c r="AD19" s="1">
        <v>9.2991856805088296E-7</v>
      </c>
    </row>
    <row r="20" spans="1:30" x14ac:dyDescent="0.25">
      <c r="A20" s="4"/>
      <c r="B20" s="4"/>
      <c r="C20" t="s">
        <v>23</v>
      </c>
      <c r="D20">
        <v>4.3787464523515496E-3</v>
      </c>
      <c r="E20" s="1">
        <v>2.9733222728500199E-6</v>
      </c>
      <c r="F20">
        <v>4.3687903100722604E-3</v>
      </c>
      <c r="G20" s="1">
        <v>1.2036453449949799E-8</v>
      </c>
      <c r="H20" s="1">
        <v>4.1706158728703701E-7</v>
      </c>
      <c r="I20" s="1">
        <v>4.2581402921170898E-7</v>
      </c>
      <c r="J20" s="1">
        <v>1.2518933890630601E-9</v>
      </c>
      <c r="K20" s="1">
        <v>1.5733013503505501E-8</v>
      </c>
      <c r="L20" s="1">
        <v>8.8588758453743204E-10</v>
      </c>
      <c r="M20" s="1">
        <v>1.1654232450420801E-9</v>
      </c>
      <c r="N20" s="1">
        <v>4.49364389927183E-7</v>
      </c>
      <c r="O20">
        <v>0</v>
      </c>
      <c r="P20">
        <v>0</v>
      </c>
      <c r="Q20">
        <v>0</v>
      </c>
      <c r="R20">
        <v>0</v>
      </c>
      <c r="S20">
        <v>0</v>
      </c>
      <c r="T20" s="1">
        <v>4.3885972878236302E-8</v>
      </c>
      <c r="U20" s="1">
        <v>5.7904642931480502E-9</v>
      </c>
      <c r="V20" s="1">
        <v>2.0842420176750101E-8</v>
      </c>
      <c r="W20" s="1">
        <v>4.1449704166391596E-6</v>
      </c>
      <c r="X20" s="1">
        <v>5.0922489065689904E-7</v>
      </c>
      <c r="Y20" s="1">
        <v>4.6751660484810202E-7</v>
      </c>
      <c r="Z20" s="1">
        <v>2.71832631548819E-8</v>
      </c>
      <c r="AA20" s="1">
        <v>1.0594904523370599E-7</v>
      </c>
      <c r="AB20" s="1">
        <v>1.7960962240481699E-7</v>
      </c>
      <c r="AC20" s="1">
        <v>4.02972522009525E-8</v>
      </c>
      <c r="AD20" s="1">
        <v>1.1423737634782E-7</v>
      </c>
    </row>
    <row r="21" spans="1:30" x14ac:dyDescent="0.25">
      <c r="A21" s="4"/>
      <c r="B21" s="4"/>
      <c r="C21" t="s">
        <v>24</v>
      </c>
      <c r="D21">
        <v>8.1307817021025101E-4</v>
      </c>
      <c r="E21" s="1">
        <v>4.0164984732371204E-6</v>
      </c>
      <c r="F21">
        <v>8.0626766743494395E-4</v>
      </c>
      <c r="G21" s="1">
        <v>2.30249356400392E-8</v>
      </c>
      <c r="H21" s="1">
        <v>3.3980746029036101E-7</v>
      </c>
      <c r="I21" s="1">
        <v>2.5013541644947998E-7</v>
      </c>
      <c r="J21" s="1">
        <v>2.7491676678015899E-10</v>
      </c>
      <c r="K21" s="1">
        <v>8.57364615357077E-9</v>
      </c>
      <c r="L21" s="1">
        <v>1.14706261279648E-8</v>
      </c>
      <c r="M21" s="1">
        <v>8.49157441586021E-11</v>
      </c>
      <c r="N21" s="1">
        <v>1.01492088577721E-6</v>
      </c>
      <c r="O21" s="1">
        <v>3.08063411764706E-9</v>
      </c>
      <c r="P21">
        <v>0</v>
      </c>
      <c r="Q21">
        <v>0</v>
      </c>
      <c r="R21">
        <v>0</v>
      </c>
      <c r="S21">
        <v>0</v>
      </c>
      <c r="T21" s="1">
        <v>2.50210658734365E-8</v>
      </c>
      <c r="U21" s="1">
        <v>2.1263890406031102E-9</v>
      </c>
      <c r="V21" s="1">
        <v>1.43405678743814E-9</v>
      </c>
      <c r="W21" s="1">
        <v>1.03728781113494E-7</v>
      </c>
      <c r="X21" s="1">
        <v>1.2051223165028001E-7</v>
      </c>
      <c r="Y21" s="1">
        <v>2.0134129323857401E-7</v>
      </c>
      <c r="Z21" s="1">
        <v>5.7197314226769001E-7</v>
      </c>
      <c r="AA21" s="1">
        <v>6.1384636305995198E-8</v>
      </c>
      <c r="AB21" s="1">
        <v>4.1782418099483999E-9</v>
      </c>
      <c r="AC21" s="1">
        <v>6.7955393968158101E-9</v>
      </c>
      <c r="AD21" s="1">
        <v>4.4135487518514399E-8</v>
      </c>
    </row>
    <row r="22" spans="1:30" x14ac:dyDescent="0.25">
      <c r="A22" s="4"/>
      <c r="B22" s="4"/>
      <c r="C22" t="s">
        <v>25</v>
      </c>
      <c r="D22">
        <v>3.1269398099514601E-3</v>
      </c>
      <c r="E22" s="1">
        <v>3.3563221760083199E-6</v>
      </c>
      <c r="F22">
        <v>3.1041012970881598E-3</v>
      </c>
      <c r="G22" s="1">
        <v>2.2557526342493199E-6</v>
      </c>
      <c r="H22" s="1">
        <v>2.96267643114966E-7</v>
      </c>
      <c r="I22" s="1">
        <v>7.9427695405920496E-7</v>
      </c>
      <c r="J22" s="1">
        <v>2.24633193762339E-8</v>
      </c>
      <c r="K22" s="1">
        <v>5.3381307585723298E-8</v>
      </c>
      <c r="L22" s="1">
        <v>1.64412316673627E-7</v>
      </c>
      <c r="M22" s="1">
        <v>2.5675158397022E-9</v>
      </c>
      <c r="N22" s="1">
        <v>3.1789172198138302E-6</v>
      </c>
      <c r="O22">
        <v>0</v>
      </c>
      <c r="P22">
        <v>0</v>
      </c>
      <c r="Q22">
        <v>0</v>
      </c>
      <c r="R22">
        <v>0</v>
      </c>
      <c r="S22">
        <v>0</v>
      </c>
      <c r="T22" s="1">
        <v>1.55932046048964E-9</v>
      </c>
      <c r="U22" s="1">
        <v>4.9656167053997201E-8</v>
      </c>
      <c r="V22" s="1">
        <v>4.4744324642799802E-8</v>
      </c>
      <c r="W22" s="1">
        <v>3.47295459140068E-7</v>
      </c>
      <c r="X22" s="1">
        <v>5.1081442634117999E-6</v>
      </c>
      <c r="Y22" s="1">
        <v>1.00554327555787E-6</v>
      </c>
      <c r="Z22" s="1">
        <v>3.05625480835009E-6</v>
      </c>
      <c r="AA22" s="1">
        <v>4.2594869673660802E-7</v>
      </c>
      <c r="AB22" s="1">
        <v>1.143426633111E-8</v>
      </c>
      <c r="AC22" s="1">
        <v>9.7455618342013399E-7</v>
      </c>
      <c r="AD22" s="1">
        <v>1.6890150114758999E-6</v>
      </c>
    </row>
    <row r="23" spans="1:30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30" x14ac:dyDescent="0.25">
      <c r="A24" s="4"/>
      <c r="B24" s="4"/>
      <c r="C24" s="6" t="s">
        <v>26</v>
      </c>
      <c r="D24" s="6" t="s">
        <v>27</v>
      </c>
      <c r="E24" s="6" t="s">
        <v>28</v>
      </c>
      <c r="F24" s="6" t="s">
        <v>29</v>
      </c>
      <c r="G24" s="6" t="s">
        <v>27</v>
      </c>
      <c r="H24" s="6" t="s">
        <v>28</v>
      </c>
      <c r="I24" s="6" t="s">
        <v>29</v>
      </c>
    </row>
    <row r="25" spans="1:30" x14ac:dyDescent="0.25">
      <c r="A25" s="4" t="s">
        <v>30</v>
      </c>
      <c r="B25" s="4"/>
      <c r="C25" s="4"/>
      <c r="D25" s="6" t="s">
        <v>31</v>
      </c>
      <c r="E25" s="6" t="s">
        <v>32</v>
      </c>
      <c r="F25" s="6" t="s">
        <v>33</v>
      </c>
      <c r="G25" s="6" t="s">
        <v>31</v>
      </c>
      <c r="H25" s="6" t="s">
        <v>32</v>
      </c>
      <c r="I25" s="6" t="s">
        <v>33</v>
      </c>
    </row>
    <row r="26" spans="1:30" x14ac:dyDescent="0.25">
      <c r="A26" s="4"/>
      <c r="B26" s="4"/>
      <c r="C26" s="4"/>
      <c r="D26" s="6" t="s">
        <v>34</v>
      </c>
      <c r="E26" s="6" t="s">
        <v>34</v>
      </c>
      <c r="F26" s="6" t="s">
        <v>34</v>
      </c>
      <c r="G26" s="6" t="s">
        <v>35</v>
      </c>
      <c r="H26" s="6" t="s">
        <v>35</v>
      </c>
      <c r="I26" s="6" t="s">
        <v>35</v>
      </c>
    </row>
    <row r="27" spans="1:30" x14ac:dyDescent="0.25">
      <c r="A27" s="4"/>
      <c r="B27" s="4"/>
      <c r="C27" s="4" t="s">
        <v>36</v>
      </c>
      <c r="D27" s="4">
        <v>1.8599999999999999E-4</v>
      </c>
      <c r="E27" s="4">
        <v>1.8100000000000001E-4</v>
      </c>
      <c r="F27" s="4">
        <v>2.7500000000000002E-4</v>
      </c>
      <c r="G27" s="4">
        <v>8.0000000000000004E-4</v>
      </c>
      <c r="H27" s="4">
        <v>9.1699999999999995E-4</v>
      </c>
      <c r="I27" s="4">
        <v>2.48E-3</v>
      </c>
    </row>
    <row r="28" spans="1:30" x14ac:dyDescent="0.25">
      <c r="A28" s="4"/>
      <c r="B28" s="4"/>
      <c r="C28" s="4" t="s">
        <v>37</v>
      </c>
      <c r="D28" s="4">
        <v>2.1000000000000001E-2</v>
      </c>
      <c r="E28" s="4">
        <v>2.0199999999999999E-2</v>
      </c>
      <c r="F28" s="4">
        <v>4.1000000000000002E-2</v>
      </c>
      <c r="G28" s="4">
        <v>1.4999999999999999E-2</v>
      </c>
      <c r="H28" s="4">
        <v>1.35E-2</v>
      </c>
      <c r="I28" s="4">
        <v>2.3900000000000001E-2</v>
      </c>
    </row>
    <row r="29" spans="1:30" x14ac:dyDescent="0.25">
      <c r="A29" s="4"/>
      <c r="B29" s="4"/>
      <c r="C29" s="4" t="s">
        <v>38</v>
      </c>
      <c r="D29" s="4">
        <v>131</v>
      </c>
      <c r="E29" s="4">
        <v>308</v>
      </c>
      <c r="F29" s="4">
        <v>308</v>
      </c>
      <c r="G29" s="4">
        <v>98.5</v>
      </c>
      <c r="H29" s="4">
        <v>245</v>
      </c>
      <c r="I29" s="4">
        <v>245</v>
      </c>
    </row>
    <row r="30" spans="1:30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30" x14ac:dyDescent="0.25">
      <c r="A31" s="4" t="s">
        <v>39</v>
      </c>
      <c r="B31" s="4"/>
      <c r="C31" s="4"/>
      <c r="D31" s="67" t="s">
        <v>40</v>
      </c>
      <c r="E31" s="67"/>
      <c r="F31" s="67"/>
      <c r="G31" s="67"/>
      <c r="H31" s="4"/>
      <c r="I31" s="4"/>
    </row>
    <row r="32" spans="1:30" x14ac:dyDescent="0.25">
      <c r="A32" s="4"/>
      <c r="B32" s="4"/>
      <c r="C32" s="4"/>
      <c r="D32" s="6" t="s">
        <v>41</v>
      </c>
      <c r="E32" s="6" t="s">
        <v>31</v>
      </c>
      <c r="F32" s="6" t="s">
        <v>32</v>
      </c>
      <c r="G32" s="6" t="s">
        <v>33</v>
      </c>
      <c r="H32" s="4"/>
      <c r="I32" s="4"/>
    </row>
    <row r="33" spans="1:51" x14ac:dyDescent="0.25">
      <c r="A33" s="4"/>
      <c r="B33" s="4"/>
      <c r="C33" s="4" t="s">
        <v>42</v>
      </c>
      <c r="D33" s="4">
        <v>400</v>
      </c>
      <c r="E33" s="4">
        <v>250</v>
      </c>
      <c r="F33" s="4">
        <v>400</v>
      </c>
      <c r="G33" s="4">
        <v>500</v>
      </c>
      <c r="H33" s="4"/>
      <c r="I33" s="4"/>
    </row>
    <row r="34" spans="1:51" x14ac:dyDescent="0.25">
      <c r="A34" s="4"/>
      <c r="B34" s="4"/>
      <c r="C34" s="4" t="s">
        <v>43</v>
      </c>
      <c r="D34" s="4">
        <v>400</v>
      </c>
      <c r="E34" s="4">
        <v>550</v>
      </c>
      <c r="F34" s="4">
        <v>300</v>
      </c>
      <c r="G34" s="4">
        <v>300</v>
      </c>
      <c r="H34" s="4"/>
      <c r="I34" s="4"/>
    </row>
    <row r="35" spans="1:51" x14ac:dyDescent="0.25">
      <c r="A35" s="4"/>
      <c r="B35" s="4"/>
      <c r="C35" s="4" t="s">
        <v>44</v>
      </c>
      <c r="D35" s="4">
        <v>200</v>
      </c>
      <c r="E35" s="4">
        <v>200</v>
      </c>
      <c r="F35" s="4">
        <v>300</v>
      </c>
      <c r="G35" s="4">
        <v>200</v>
      </c>
      <c r="H35" s="4"/>
      <c r="I35" s="4"/>
    </row>
    <row r="36" spans="1:51" x14ac:dyDescent="0.25">
      <c r="A36" s="4"/>
      <c r="B36" s="4"/>
      <c r="C36" s="4" t="s">
        <v>4</v>
      </c>
      <c r="D36" s="4">
        <f>SUM(D33:D35)</f>
        <v>1000</v>
      </c>
      <c r="E36" s="4">
        <f>SUM(E33:E35)</f>
        <v>1000</v>
      </c>
      <c r="F36" s="4">
        <f>SUM(F33:F35)</f>
        <v>1000</v>
      </c>
      <c r="G36" s="4">
        <f>SUM(G33:G35)</f>
        <v>1000</v>
      </c>
      <c r="H36" s="4"/>
      <c r="I36" s="4"/>
    </row>
    <row r="37" spans="1:5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51" x14ac:dyDescent="0.25">
      <c r="A38" s="6" t="s">
        <v>45</v>
      </c>
      <c r="B38" s="4"/>
      <c r="C38" s="4"/>
      <c r="D38" s="4" t="str">
        <f>D5</f>
        <v>Total CFRP</v>
      </c>
      <c r="E38" s="4" t="str">
        <f t="shared" ref="E38:H38" si="0">E5</f>
        <v>Carbonfiber production</v>
      </c>
      <c r="F38" s="16" t="str">
        <f t="shared" si="0"/>
        <v>Diesel burning</v>
      </c>
      <c r="G38" s="14" t="str">
        <f t="shared" si="0"/>
        <v>Disposal options</v>
      </c>
      <c r="H38" s="16" t="str">
        <f t="shared" si="0"/>
        <v>Maintenace CFRP</v>
      </c>
      <c r="I38" s="4" t="str">
        <f t="shared" ref="I38:P38" si="1">I5</f>
        <v>PVC Foam production</v>
      </c>
      <c r="J38" s="14" t="str">
        <f t="shared" si="1"/>
        <v>CH: disposal, building, bulk iron (excluding reinforcement), to sorting plant</v>
      </c>
      <c r="K38" s="4" t="str">
        <f t="shared" si="1"/>
        <v>CH: disposal, polyethylene, 0.4% water, to municipal incineration</v>
      </c>
      <c r="L38" s="4" t="str">
        <f t="shared" si="1"/>
        <v>CH: disposal, polyvinylchloride, 0.2% water, to sanitary landfill</v>
      </c>
      <c r="M38" s="4" t="str">
        <f t="shared" si="1"/>
        <v>CH: disposal, wood untreated, 20% water, to municipal incineration</v>
      </c>
      <c r="N38" s="4" t="str">
        <f t="shared" si="1"/>
        <v>DK: Powermix</v>
      </c>
      <c r="O38" s="4" t="str">
        <f t="shared" si="1"/>
        <v>DK: Structure prodution at Tuco &lt;u-so&gt;</v>
      </c>
      <c r="P38" s="4" t="str">
        <f t="shared" si="1"/>
        <v>DK: waste container &lt;u-so&gt;</v>
      </c>
      <c r="Q38" s="4" t="str">
        <f t="shared" ref="Q38:AD38" si="2">Q5</f>
        <v>NO: ferry assembly-carbon ferry &lt;u-so&gt;</v>
      </c>
      <c r="R38" s="12" t="str">
        <f t="shared" si="2"/>
        <v>no: Operation Carbon ferry &lt;u-so&gt;</v>
      </c>
      <c r="S38" s="4" t="str">
        <f t="shared" si="2"/>
        <v>Plastic helpers &lt;u-so&gt;</v>
      </c>
      <c r="T38" s="4" t="str">
        <f t="shared" si="2"/>
        <v>RER: acetone, liquid, at plant</v>
      </c>
      <c r="U38" s="4" t="str">
        <f t="shared" si="2"/>
        <v>RER: acrylic filler, at plant</v>
      </c>
      <c r="V38" s="4" t="str">
        <f t="shared" si="2"/>
        <v>RER: cumene, at plant</v>
      </c>
      <c r="W38" s="4" t="str">
        <f t="shared" si="2"/>
        <v>RER: epoxy resin, liquid, at plant</v>
      </c>
      <c r="X38" s="4" t="str">
        <f t="shared" si="2"/>
        <v>RER: gas motor 206kW</v>
      </c>
      <c r="Y38" s="4" t="str">
        <f t="shared" si="2"/>
        <v>RER: natural gas, burned in industrial furnace low-NOx &gt;100kW</v>
      </c>
      <c r="Z38" s="4" t="str">
        <f t="shared" si="2"/>
        <v>RER: plywood, indoor use, at plant</v>
      </c>
      <c r="AA38" s="4" t="str">
        <f t="shared" si="2"/>
        <v>RER: polyester resin, unsaturated, at plant</v>
      </c>
      <c r="AB38" s="4" t="str">
        <f t="shared" si="2"/>
        <v>RER: polystyrene, general purpose, GPPS, at plant</v>
      </c>
      <c r="AC38" s="4" t="str">
        <f t="shared" si="2"/>
        <v>RER: transport, barge</v>
      </c>
      <c r="AD38" s="4" t="str">
        <f t="shared" si="2"/>
        <v>RER: transport, lorry 16-32t, EURO5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x14ac:dyDescent="0.25">
      <c r="A39" s="4"/>
      <c r="B39" s="4"/>
      <c r="C39" s="4" t="s">
        <v>46</v>
      </c>
      <c r="D39" s="7">
        <f>D$6/$E$27+D$7/$E$27+D$10/$E$27+D$11/$E$27+D$14/$E$27+D$16/$E$27+D$20/$E$27+D$21/$E$27+D$22/$E$27</f>
        <v>4480.479253987487</v>
      </c>
      <c r="E39" s="7">
        <f t="shared" ref="E39:AD39" si="3">E$6/$E$27+E$7/$E$27+E$10/$E$27+E$11/$E$27+E$14/$E$27+E$16/$E$27+E$20/$E$27+E$21/$E$27+E$22/$E$27</f>
        <v>6.5937197207507783</v>
      </c>
      <c r="F39" s="17">
        <f t="shared" si="3"/>
        <v>4454.176579444761</v>
      </c>
      <c r="G39" s="15">
        <f t="shared" si="3"/>
        <v>0.14429115201718748</v>
      </c>
      <c r="H39" s="17">
        <f t="shared" si="3"/>
        <v>0.82411710451097531</v>
      </c>
      <c r="I39" s="7">
        <f t="shared" si="3"/>
        <v>1.8473773573618435</v>
      </c>
      <c r="J39" s="15">
        <f t="shared" si="3"/>
        <v>2.0738434773779216E-3</v>
      </c>
      <c r="K39" s="7">
        <f t="shared" si="3"/>
        <v>1.3671517417696257</v>
      </c>
      <c r="L39" s="7">
        <f t="shared" si="3"/>
        <v>6.2524183874058887E-3</v>
      </c>
      <c r="M39" s="7">
        <f t="shared" si="3"/>
        <v>5.3762691255763655E-2</v>
      </c>
      <c r="N39" s="7">
        <f t="shared" si="3"/>
        <v>1.8200216516215919</v>
      </c>
      <c r="O39" s="7">
        <f t="shared" si="3"/>
        <v>1.7041340717309074E-5</v>
      </c>
      <c r="P39" s="7">
        <f t="shared" si="3"/>
        <v>0</v>
      </c>
      <c r="Q39" s="7">
        <f t="shared" si="3"/>
        <v>0</v>
      </c>
      <c r="R39" s="13">
        <f t="shared" si="3"/>
        <v>0</v>
      </c>
      <c r="S39" s="7">
        <f t="shared" si="3"/>
        <v>0</v>
      </c>
      <c r="T39" s="7">
        <f t="shared" si="3"/>
        <v>7.8369325236617604E-2</v>
      </c>
      <c r="U39" s="7">
        <f t="shared" si="3"/>
        <v>1.1810907302202411E-2</v>
      </c>
      <c r="V39" s="7">
        <f t="shared" si="3"/>
        <v>5.6213148984018808E-2</v>
      </c>
      <c r="W39" s="7">
        <f t="shared" si="3"/>
        <v>5.4795514081004049</v>
      </c>
      <c r="X39" s="7">
        <f t="shared" si="3"/>
        <v>1.3504094593360947</v>
      </c>
      <c r="Y39" s="7">
        <f t="shared" si="3"/>
        <v>4.370742401330733</v>
      </c>
      <c r="Z39" s="7">
        <f t="shared" si="3"/>
        <v>1.0836541391603471</v>
      </c>
      <c r="AA39" s="7">
        <f t="shared" si="3"/>
        <v>0.36481266981383181</v>
      </c>
      <c r="AB39" s="7">
        <f t="shared" si="3"/>
        <v>0.46291288923075952</v>
      </c>
      <c r="AC39" s="7">
        <f t="shared" si="3"/>
        <v>5.4636893768031582E-2</v>
      </c>
      <c r="AD39" s="7">
        <f t="shared" si="3"/>
        <v>0.33077657797231058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x14ac:dyDescent="0.25">
      <c r="A40" s="4"/>
      <c r="B40" s="4"/>
      <c r="C40" s="4" t="s">
        <v>47</v>
      </c>
      <c r="D40" s="7">
        <f>D$8/$E$28+D$12/$E$28+D$13/$D$2/$E$28+D$17/$E$28+D$18/$E$28+D$19/$E$28</f>
        <v>11181.718241276387</v>
      </c>
      <c r="E40" s="7">
        <f t="shared" ref="E40:AD40" si="4">E$8/$E$28+E$12/$E$28+E$13/$D$2/$E$28+E$17/$E$28+E$18/$E$28+E$19/$E$28</f>
        <v>12.295989317143375</v>
      </c>
      <c r="F40" s="17">
        <f t="shared" si="4"/>
        <v>11132.176690455222</v>
      </c>
      <c r="G40" s="15">
        <f t="shared" si="4"/>
        <v>0.60662836027320732</v>
      </c>
      <c r="H40" s="17">
        <f t="shared" si="4"/>
        <v>1.6744417851840512</v>
      </c>
      <c r="I40" s="7">
        <f t="shared" si="4"/>
        <v>3.1799177497670335</v>
      </c>
      <c r="J40" s="15">
        <f t="shared" si="4"/>
        <v>3.951819225478991E-3</v>
      </c>
      <c r="K40" s="7">
        <f t="shared" si="4"/>
        <v>2.2777317999732922</v>
      </c>
      <c r="L40" s="7">
        <f t="shared" si="4"/>
        <v>2.1316355167266248E-2</v>
      </c>
      <c r="M40" s="7">
        <f t="shared" si="4"/>
        <v>8.6346125657613917E-2</v>
      </c>
      <c r="N40" s="7">
        <f t="shared" si="4"/>
        <v>3.022015737825809</v>
      </c>
      <c r="O40" s="7">
        <f t="shared" si="4"/>
        <v>4.3648588584740775E-3</v>
      </c>
      <c r="P40" s="7">
        <f t="shared" si="4"/>
        <v>0</v>
      </c>
      <c r="Q40" s="7">
        <f t="shared" si="4"/>
        <v>0</v>
      </c>
      <c r="R40" s="13">
        <f t="shared" si="4"/>
        <v>0</v>
      </c>
      <c r="S40" s="7">
        <f t="shared" si="4"/>
        <v>0</v>
      </c>
      <c r="T40" s="7">
        <f t="shared" si="4"/>
        <v>0.15228314858530609</v>
      </c>
      <c r="U40" s="7">
        <f t="shared" si="4"/>
        <v>2.1568563470498337E-2</v>
      </c>
      <c r="V40" s="7">
        <f t="shared" si="4"/>
        <v>0.10286023614529265</v>
      </c>
      <c r="W40" s="7">
        <f t="shared" si="4"/>
        <v>13.859223078034487</v>
      </c>
      <c r="X40" s="7">
        <f t="shared" si="4"/>
        <v>2.9527126349460917</v>
      </c>
      <c r="Y40" s="7">
        <f t="shared" si="4"/>
        <v>6.9144323721218299</v>
      </c>
      <c r="Z40" s="7">
        <f t="shared" si="4"/>
        <v>0.19058468212574078</v>
      </c>
      <c r="AA40" s="7">
        <f t="shared" si="4"/>
        <v>0.64428337986573148</v>
      </c>
      <c r="AB40" s="7">
        <f t="shared" si="4"/>
        <v>0.85848491333533061</v>
      </c>
      <c r="AC40" s="7">
        <f t="shared" si="4"/>
        <v>0.10012432598359237</v>
      </c>
      <c r="AD40" s="7">
        <f t="shared" si="4"/>
        <v>0.57228957747147924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x14ac:dyDescent="0.25">
      <c r="A41" s="4"/>
      <c r="B41" s="4"/>
      <c r="C41" s="4" t="s">
        <v>48</v>
      </c>
      <c r="D41" s="4">
        <f>D$9/$D$1/$E$29+D$15/$E$29</f>
        <v>16751.798998489798</v>
      </c>
      <c r="E41" s="7">
        <f>E$9/$D$1/$E$29+E$15/$E$29</f>
        <v>33.860169011573191</v>
      </c>
      <c r="F41" s="17">
        <f t="shared" ref="F41:AD41" si="5">F$9/$D$1/$E$29+F$15/$E$29</f>
        <v>16626.590417250765</v>
      </c>
      <c r="G41" s="15">
        <f>G$9/$D$1/$E$29+G$15/$E$29</f>
        <v>0.10996082061189355</v>
      </c>
      <c r="H41" s="17">
        <f t="shared" si="5"/>
        <v>4.0101035764861601</v>
      </c>
      <c r="I41" s="7">
        <f t="shared" si="5"/>
        <v>10.430114008415881</v>
      </c>
      <c r="J41" s="15">
        <f t="shared" si="5"/>
        <v>8.5168176105280061E-3</v>
      </c>
      <c r="K41" s="7">
        <f t="shared" si="5"/>
        <v>3.1588030814328316E-2</v>
      </c>
      <c r="L41" s="7">
        <f t="shared" si="5"/>
        <v>8.0081488274339682E-3</v>
      </c>
      <c r="M41" s="7">
        <f t="shared" si="5"/>
        <v>1.97391599876093E-3</v>
      </c>
      <c r="N41" s="7">
        <f t="shared" si="5"/>
        <v>6.8284228598179864</v>
      </c>
      <c r="O41" s="7">
        <f>O$9/$D$1/$E$29+O$15/$E$29</f>
        <v>0</v>
      </c>
      <c r="P41" s="7">
        <f t="shared" si="5"/>
        <v>0</v>
      </c>
      <c r="Q41" s="7">
        <f t="shared" si="5"/>
        <v>0</v>
      </c>
      <c r="R41" s="13">
        <f t="shared" si="5"/>
        <v>0</v>
      </c>
      <c r="S41" s="7">
        <f t="shared" si="5"/>
        <v>0</v>
      </c>
      <c r="T41" s="7">
        <f t="shared" si="5"/>
        <v>0.65947060984473715</v>
      </c>
      <c r="U41" s="7">
        <f t="shared" si="5"/>
        <v>7.841454871803287E-2</v>
      </c>
      <c r="V41" s="7">
        <f t="shared" si="5"/>
        <v>0.52218252597714554</v>
      </c>
      <c r="W41" s="7">
        <f>W$9/$D$1/$E$29+W$15/$E$29</f>
        <v>29.126460534287421</v>
      </c>
      <c r="X41" s="7">
        <f t="shared" si="5"/>
        <v>11.877630003105683</v>
      </c>
      <c r="Y41" s="7">
        <f t="shared" si="5"/>
        <v>21.109911278513898</v>
      </c>
      <c r="Z41" s="7">
        <f t="shared" si="5"/>
        <v>0.2106800072310005</v>
      </c>
      <c r="AA41" s="7">
        <f t="shared" si="5"/>
        <v>1.5883781941149377</v>
      </c>
      <c r="AB41" s="7">
        <f t="shared" si="5"/>
        <v>3.2095854929155214</v>
      </c>
      <c r="AC41" s="7">
        <f t="shared" si="5"/>
        <v>0.15973907454355107</v>
      </c>
      <c r="AD41" s="7">
        <f t="shared" si="5"/>
        <v>1.3772717796113234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x14ac:dyDescent="0.25">
      <c r="A42" s="4"/>
      <c r="B42" s="4"/>
      <c r="C42" s="4"/>
      <c r="D42" s="4"/>
      <c r="E42" s="4"/>
      <c r="F42" s="16"/>
      <c r="G42" s="14"/>
      <c r="H42" s="16"/>
      <c r="I42" s="4"/>
      <c r="J42" s="14"/>
      <c r="K42" s="4"/>
      <c r="L42" s="4"/>
      <c r="M42" s="4"/>
      <c r="N42" s="4"/>
      <c r="O42" s="4"/>
      <c r="P42" s="4"/>
      <c r="Q42" s="4"/>
      <c r="R42" s="1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x14ac:dyDescent="0.25">
      <c r="A43" s="4"/>
      <c r="B43" s="4"/>
      <c r="C43" s="4"/>
      <c r="D43" s="4"/>
      <c r="E43" s="4"/>
      <c r="F43" s="16"/>
      <c r="G43" s="14"/>
      <c r="H43" s="16"/>
      <c r="I43" s="4"/>
      <c r="J43" s="14"/>
      <c r="K43" s="4"/>
      <c r="L43" s="4"/>
      <c r="M43" s="4"/>
      <c r="N43" s="4"/>
      <c r="O43" s="4"/>
      <c r="P43" s="4"/>
      <c r="Q43" s="4"/>
      <c r="R43" s="12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x14ac:dyDescent="0.25">
      <c r="A44" s="4"/>
      <c r="B44" s="4"/>
      <c r="C44" s="5" t="s">
        <v>42</v>
      </c>
      <c r="D44" s="7">
        <f>D39*$F$33</f>
        <v>1792191.7015949949</v>
      </c>
      <c r="E44" s="7">
        <f>E39*$F$33</f>
        <v>2637.4878883003112</v>
      </c>
      <c r="F44" s="17">
        <f t="shared" ref="F44:G44" si="6">F39*$F$33</f>
        <v>1781670.6317779045</v>
      </c>
      <c r="G44" s="15">
        <f t="shared" si="6"/>
        <v>57.716460806874991</v>
      </c>
      <c r="H44" s="17">
        <f>H39*$F$33</f>
        <v>329.64684180439014</v>
      </c>
      <c r="I44" s="7">
        <f t="shared" ref="I44:O44" si="7">I39*$F$33</f>
        <v>738.95094294473745</v>
      </c>
      <c r="J44" s="15">
        <f t="shared" si="7"/>
        <v>0.82953739095116863</v>
      </c>
      <c r="K44" s="7">
        <f t="shared" si="7"/>
        <v>546.86069670785025</v>
      </c>
      <c r="L44" s="7">
        <f t="shared" si="7"/>
        <v>2.5009673549623557</v>
      </c>
      <c r="M44" s="7">
        <f t="shared" si="7"/>
        <v>21.50507650230546</v>
      </c>
      <c r="N44" s="7">
        <f t="shared" si="7"/>
        <v>728.00866064863681</v>
      </c>
      <c r="O44" s="7">
        <f t="shared" si="7"/>
        <v>6.8165362869236296E-3</v>
      </c>
      <c r="P44" s="7">
        <f>P39*$F$33</f>
        <v>0</v>
      </c>
      <c r="Q44" s="7">
        <f t="shared" ref="Q44:W44" si="8">Q39*$F$33</f>
        <v>0</v>
      </c>
      <c r="R44" s="13">
        <f t="shared" si="8"/>
        <v>0</v>
      </c>
      <c r="S44" s="7">
        <f t="shared" si="8"/>
        <v>0</v>
      </c>
      <c r="T44" s="7">
        <f t="shared" si="8"/>
        <v>31.347730094647041</v>
      </c>
      <c r="U44" s="7">
        <f t="shared" si="8"/>
        <v>4.7243629208809645</v>
      </c>
      <c r="V44" s="7">
        <f t="shared" si="8"/>
        <v>22.485259593607523</v>
      </c>
      <c r="W44" s="7">
        <f t="shared" si="8"/>
        <v>2191.8205632401618</v>
      </c>
      <c r="X44" s="7">
        <f>X39*$F$33</f>
        <v>540.16378373443786</v>
      </c>
      <c r="Y44" s="7">
        <f t="shared" ref="Y44:AD44" si="9">Y39*$F$33</f>
        <v>1748.2969605322933</v>
      </c>
      <c r="Z44" s="7">
        <f t="shared" si="9"/>
        <v>433.46165566413885</v>
      </c>
      <c r="AA44" s="7">
        <f t="shared" si="9"/>
        <v>145.92506792553272</v>
      </c>
      <c r="AB44" s="7">
        <f t="shared" si="9"/>
        <v>185.16515569230381</v>
      </c>
      <c r="AC44" s="7">
        <f t="shared" si="9"/>
        <v>21.854757507212632</v>
      </c>
      <c r="AD44" s="7">
        <f t="shared" si="9"/>
        <v>132.31063118892422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x14ac:dyDescent="0.25">
      <c r="A45" s="4"/>
      <c r="B45" s="4"/>
      <c r="C45" s="5" t="s">
        <v>43</v>
      </c>
      <c r="D45" s="7">
        <f>D40*$F$34</f>
        <v>3354515.4723829161</v>
      </c>
      <c r="E45" s="7">
        <f>E40*$F$34</f>
        <v>3688.7967951430123</v>
      </c>
      <c r="F45" s="17">
        <f t="shared" ref="F45:G45" si="10">F40*$F$34</f>
        <v>3339653.0071365666</v>
      </c>
      <c r="G45" s="15">
        <f t="shared" si="10"/>
        <v>181.98850808196221</v>
      </c>
      <c r="H45" s="17">
        <f>H40*$F$34</f>
        <v>502.33253555521537</v>
      </c>
      <c r="I45" s="7">
        <f t="shared" ref="I45:O45" si="11">I40*$F$34</f>
        <v>953.97532493010999</v>
      </c>
      <c r="J45" s="15">
        <f t="shared" si="11"/>
        <v>1.1855457676436973</v>
      </c>
      <c r="K45" s="7">
        <f t="shared" si="11"/>
        <v>683.31953999198765</v>
      </c>
      <c r="L45" s="7">
        <f t="shared" si="11"/>
        <v>6.3949065501798747</v>
      </c>
      <c r="M45" s="7">
        <f t="shared" si="11"/>
        <v>25.903837697284175</v>
      </c>
      <c r="N45" s="7">
        <f t="shared" si="11"/>
        <v>906.60472134774272</v>
      </c>
      <c r="O45" s="7">
        <f t="shared" si="11"/>
        <v>1.3094576575422232</v>
      </c>
      <c r="P45" s="7">
        <f>P40*$F$34</f>
        <v>0</v>
      </c>
      <c r="Q45" s="7">
        <f t="shared" ref="Q45:W45" si="12">Q40*$F$34</f>
        <v>0</v>
      </c>
      <c r="R45" s="13">
        <f t="shared" si="12"/>
        <v>0</v>
      </c>
      <c r="S45" s="7">
        <f t="shared" si="12"/>
        <v>0</v>
      </c>
      <c r="T45" s="7">
        <f t="shared" si="12"/>
        <v>45.684944575591828</v>
      </c>
      <c r="U45" s="7">
        <f t="shared" si="12"/>
        <v>6.4705690411495009</v>
      </c>
      <c r="V45" s="7">
        <f t="shared" si="12"/>
        <v>30.858070843587793</v>
      </c>
      <c r="W45" s="7">
        <f t="shared" si="12"/>
        <v>4157.766923410346</v>
      </c>
      <c r="X45" s="7">
        <f>X40*$F$34</f>
        <v>885.81379048382746</v>
      </c>
      <c r="Y45" s="7">
        <f t="shared" ref="Y45:AD45" si="13">Y40*$F$34</f>
        <v>2074.3297116365488</v>
      </c>
      <c r="Z45" s="7">
        <f t="shared" si="13"/>
        <v>57.175404637722238</v>
      </c>
      <c r="AA45" s="7">
        <f t="shared" si="13"/>
        <v>193.28501395971944</v>
      </c>
      <c r="AB45" s="7">
        <f t="shared" si="13"/>
        <v>257.5454740005992</v>
      </c>
      <c r="AC45" s="7">
        <f t="shared" si="13"/>
        <v>30.037297795077713</v>
      </c>
      <c r="AD45" s="7">
        <f t="shared" si="13"/>
        <v>171.68687324144378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x14ac:dyDescent="0.25">
      <c r="A46" s="4"/>
      <c r="B46" s="4"/>
      <c r="C46" s="5" t="s">
        <v>44</v>
      </c>
      <c r="D46" s="7">
        <f>D41*$F$35</f>
        <v>5025539.6995469397</v>
      </c>
      <c r="E46" s="7">
        <f>E41*$F$35</f>
        <v>10158.050703471958</v>
      </c>
      <c r="F46" s="17">
        <f t="shared" ref="F46:G46" si="14">F41*$F$35</f>
        <v>4987977.1251752293</v>
      </c>
      <c r="G46" s="15">
        <f t="shared" si="14"/>
        <v>32.988246183568066</v>
      </c>
      <c r="H46" s="17">
        <f>H41*$F$35</f>
        <v>1203.0310729458481</v>
      </c>
      <c r="I46" s="7">
        <f t="shared" ref="I46:O46" si="15">I41*$F$35</f>
        <v>3129.0342025247642</v>
      </c>
      <c r="J46" s="15">
        <f t="shared" si="15"/>
        <v>2.5550452831584018</v>
      </c>
      <c r="K46" s="7">
        <f t="shared" si="15"/>
        <v>9.4764092442984946</v>
      </c>
      <c r="L46" s="7">
        <f t="shared" si="15"/>
        <v>2.4024446482301904</v>
      </c>
      <c r="M46" s="7">
        <f t="shared" si="15"/>
        <v>0.59217479962827901</v>
      </c>
      <c r="N46" s="7">
        <f t="shared" si="15"/>
        <v>2048.5268579453959</v>
      </c>
      <c r="O46" s="7">
        <f t="shared" si="15"/>
        <v>0</v>
      </c>
      <c r="P46" s="7">
        <f>P41*$F$35</f>
        <v>0</v>
      </c>
      <c r="Q46" s="7">
        <f t="shared" ref="Q46:W46" si="16">Q41*$F$35</f>
        <v>0</v>
      </c>
      <c r="R46" s="13">
        <f t="shared" si="16"/>
        <v>0</v>
      </c>
      <c r="S46" s="7">
        <f t="shared" si="16"/>
        <v>0</v>
      </c>
      <c r="T46" s="7">
        <f t="shared" si="16"/>
        <v>197.84118295342114</v>
      </c>
      <c r="U46" s="7">
        <f t="shared" si="16"/>
        <v>23.524364615409862</v>
      </c>
      <c r="V46" s="7">
        <f t="shared" si="16"/>
        <v>156.65475779314366</v>
      </c>
      <c r="W46" s="7">
        <f t="shared" si="16"/>
        <v>8737.9381602862268</v>
      </c>
      <c r="X46" s="7">
        <f>X41*$F$35</f>
        <v>3563.2890009317048</v>
      </c>
      <c r="Y46" s="7">
        <f t="shared" ref="Y46:AD46" si="17">Y41*$F$35</f>
        <v>6332.9733835541692</v>
      </c>
      <c r="Z46" s="7">
        <f t="shared" si="17"/>
        <v>63.204002169300146</v>
      </c>
      <c r="AA46" s="7">
        <f t="shared" si="17"/>
        <v>476.51345823448133</v>
      </c>
      <c r="AB46" s="7">
        <f t="shared" si="17"/>
        <v>962.87564787465647</v>
      </c>
      <c r="AC46" s="7">
        <f t="shared" si="17"/>
        <v>47.921722363065321</v>
      </c>
      <c r="AD46" s="7">
        <f t="shared" si="17"/>
        <v>413.18153388339704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8" spans="1:51" x14ac:dyDescent="0.25">
      <c r="E48" s="1"/>
    </row>
  </sheetData>
  <mergeCells count="1">
    <mergeCell ref="D31:G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B25" sqref="B25"/>
    </sheetView>
  </sheetViews>
  <sheetFormatPr defaultRowHeight="15" x14ac:dyDescent="0.25"/>
  <cols>
    <col min="1" max="1" width="19.28515625" bestFit="1" customWidth="1"/>
    <col min="2" max="2" width="13.140625" bestFit="1" customWidth="1"/>
    <col min="8" max="8" width="20.140625" bestFit="1" customWidth="1"/>
  </cols>
  <sheetData>
    <row r="2" spans="1:10" x14ac:dyDescent="0.25">
      <c r="A2">
        <f>Sensiitivity!C38</f>
        <v>0</v>
      </c>
      <c r="B2" t="str">
        <f>Sensiitivity!BF38</f>
        <v>total polymer</v>
      </c>
      <c r="C2" t="str">
        <f>Sensiitivity!BG38</f>
        <v>End of Life</v>
      </c>
      <c r="D2" t="str">
        <f>Sensiitivity!BH38</f>
        <v>Operation</v>
      </c>
      <c r="E2" t="str">
        <f>Sensiitivity!BI38</f>
        <v>Production</v>
      </c>
      <c r="F2" t="str">
        <f>Sensiitivity!BJ38</f>
        <v>Raw materials</v>
      </c>
      <c r="I2" t="str">
        <f>'basic scenarios'!Q38</f>
        <v>CFRP</v>
      </c>
    </row>
    <row r="3" spans="1:10" x14ac:dyDescent="0.25">
      <c r="A3" t="str">
        <f>Sensiitivity!C39</f>
        <v>Ecosystems [p/yr]</v>
      </c>
      <c r="B3">
        <f>Sensiitivity!BF39</f>
        <v>4481.4154600765769</v>
      </c>
      <c r="C3">
        <f>Sensiitivity!BG39</f>
        <v>0.14636499549456555</v>
      </c>
      <c r="D3">
        <f>Sensiitivity!BH39</f>
        <v>4455.0006965492721</v>
      </c>
      <c r="E3">
        <f>Sensiitivity!BI39</f>
        <v>9.0230158124917335</v>
      </c>
      <c r="F3">
        <f>Sensiitivity!BJ39</f>
        <v>17.245382719317615</v>
      </c>
      <c r="I3">
        <f>'basic scenarios'!Q39</f>
        <v>25.33219244272308</v>
      </c>
    </row>
    <row r="4" spans="1:10" x14ac:dyDescent="0.25">
      <c r="A4" t="str">
        <f>Sensiitivity!C40</f>
        <v>Human health [p/yr]</v>
      </c>
      <c r="B4">
        <f>Sensiitivity!BF40</f>
        <v>11179.189668238039</v>
      </c>
      <c r="C4">
        <f>Sensiitivity!BG40</f>
        <v>0.61058017949868637</v>
      </c>
      <c r="D4">
        <f>Sensiitivity!BH40</f>
        <v>11133.851132240448</v>
      </c>
      <c r="E4">
        <f>Sensiitivity!BI40</f>
        <v>15.379078762804829</v>
      </c>
      <c r="F4">
        <f>Sensiitivity!BJ40</f>
        <v>29.3488770553023</v>
      </c>
      <c r="I4">
        <f>'basic scenarios'!Q40</f>
        <v>47.256528856478276</v>
      </c>
    </row>
    <row r="5" spans="1:10" x14ac:dyDescent="0.25">
      <c r="A5" t="str">
        <f>Sensiitivity!C41</f>
        <v>Resources [p/yr]</v>
      </c>
      <c r="B5">
        <f>Sensiitivity!BF41</f>
        <v>16750.606369079997</v>
      </c>
      <c r="C5">
        <f>Sensiitivity!BG41</f>
        <v>0.11847763822242156</v>
      </c>
      <c r="D5">
        <f>Sensiitivity!BH41</f>
        <v>16630.600520827265</v>
      </c>
      <c r="E5">
        <f>Sensiitivity!BI41</f>
        <v>40.017274101503993</v>
      </c>
      <c r="F5">
        <f>Sensiitivity!BJ41</f>
        <v>79.870096512986066</v>
      </c>
      <c r="I5">
        <f>'basic scenarios'!Q41</f>
        <v>121.08000002431105</v>
      </c>
    </row>
    <row r="6" spans="1:10" x14ac:dyDescent="0.25">
      <c r="I6">
        <f>'basic scenarios'!Q42</f>
        <v>0</v>
      </c>
    </row>
    <row r="7" spans="1:10" x14ac:dyDescent="0.25">
      <c r="H7" t="s">
        <v>135</v>
      </c>
      <c r="I7" t="s">
        <v>136</v>
      </c>
    </row>
    <row r="8" spans="1:10" x14ac:dyDescent="0.25">
      <c r="A8" t="str">
        <f>Sensiitivity!C44</f>
        <v>Ecosystems</v>
      </c>
      <c r="B8">
        <f>Sensiitivity!BF44</f>
        <v>1792566.1840306309</v>
      </c>
      <c r="C8">
        <f>Sensiitivity!BG44</f>
        <v>58.545998197826222</v>
      </c>
      <c r="D8">
        <f>Sensiitivity!BH44</f>
        <v>1782000.278619709</v>
      </c>
      <c r="E8">
        <f>Sensiitivity!BI44</f>
        <v>3609.2063249966932</v>
      </c>
      <c r="F8">
        <f>Sensiitivity!BJ44</f>
        <v>6898.1530877270461</v>
      </c>
      <c r="H8">
        <f>E8+F8</f>
        <v>10507.359412723739</v>
      </c>
      <c r="I8">
        <f>'basic scenarios'!Q44</f>
        <v>10132.876977089232</v>
      </c>
      <c r="J8" s="18">
        <f>(H8-I8)/I8</f>
        <v>3.695716788837209E-2</v>
      </c>
    </row>
    <row r="9" spans="1:10" x14ac:dyDescent="0.25">
      <c r="A9" t="str">
        <f>Sensiitivity!C45</f>
        <v>Human health</v>
      </c>
      <c r="B9">
        <f>Sensiitivity!BF45</f>
        <v>3353756.9004714116</v>
      </c>
      <c r="C9">
        <f>Sensiitivity!BG45</f>
        <v>183.17405384960591</v>
      </c>
      <c r="D9">
        <f>Sensiitivity!BH45</f>
        <v>3340155.3396721347</v>
      </c>
      <c r="E9">
        <f>Sensiitivity!BI45</f>
        <v>4613.7236288414488</v>
      </c>
      <c r="F9">
        <f>Sensiitivity!BJ45</f>
        <v>8804.6631165906892</v>
      </c>
      <c r="H9">
        <f t="shared" ref="H9:H10" si="0">E9+F9</f>
        <v>13418.386745432137</v>
      </c>
      <c r="I9">
        <f>'basic scenarios'!Q45</f>
        <v>14176.958656943483</v>
      </c>
      <c r="J9" s="18">
        <f t="shared" ref="J9:J10" si="1">(H9-I9)/I9</f>
        <v>-5.3507379817307889E-2</v>
      </c>
    </row>
    <row r="10" spans="1:10" x14ac:dyDescent="0.25">
      <c r="A10" t="str">
        <f>Sensiitivity!C46</f>
        <v>Resources</v>
      </c>
      <c r="B10">
        <f>Sensiitivity!BF46</f>
        <v>5025181.9107239991</v>
      </c>
      <c r="C10">
        <f>Sensiitivity!BG46</f>
        <v>35.543291466726473</v>
      </c>
      <c r="D10">
        <f>Sensiitivity!BH46</f>
        <v>4989180.1562481793</v>
      </c>
      <c r="E10">
        <f>Sensiitivity!BI46</f>
        <v>12005.182230451199</v>
      </c>
      <c r="F10">
        <f>Sensiitivity!BJ46</f>
        <v>23961.02895389582</v>
      </c>
      <c r="H10">
        <f t="shared" si="0"/>
        <v>35966.211184347019</v>
      </c>
      <c r="I10">
        <f>'basic scenarios'!Q46</f>
        <v>36324.000007293311</v>
      </c>
      <c r="J10" s="18">
        <f t="shared" si="1"/>
        <v>-9.8499290517138228E-3</v>
      </c>
    </row>
    <row r="11" spans="1:10" x14ac:dyDescent="0.25">
      <c r="B11" s="7"/>
      <c r="C11" s="7"/>
      <c r="D11" s="7"/>
      <c r="E11" s="7"/>
      <c r="F11" s="7"/>
      <c r="I11">
        <f>'basic scenarios'!Q47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>
      <selection activeCell="F11" sqref="F11"/>
    </sheetView>
  </sheetViews>
  <sheetFormatPr defaultRowHeight="15" x14ac:dyDescent="0.25"/>
  <cols>
    <col min="1" max="1" width="19" bestFit="1" customWidth="1"/>
    <col min="3" max="3" width="18.7109375" customWidth="1"/>
    <col min="4" max="4" width="12.85546875" customWidth="1"/>
    <col min="9" max="9" width="18.5703125" customWidth="1"/>
    <col min="10" max="11" width="12.42578125" customWidth="1"/>
    <col min="12" max="12" width="10.7109375" customWidth="1"/>
    <col min="14" max="14" width="12.7109375" customWidth="1"/>
    <col min="15" max="15" width="15.7109375" customWidth="1"/>
    <col min="16" max="16" width="20.140625" customWidth="1"/>
  </cols>
  <sheetData>
    <row r="1" spans="1:29" x14ac:dyDescent="0.25">
      <c r="A1" t="s">
        <v>82</v>
      </c>
    </row>
    <row r="2" spans="1:29" x14ac:dyDescent="0.25">
      <c r="A2">
        <f>'CFRP production'!C43</f>
        <v>0</v>
      </c>
      <c r="B2" t="s">
        <v>83</v>
      </c>
      <c r="C2" t="str">
        <f>'CFRP production'!E38</f>
        <v>Carbonfiber production</v>
      </c>
      <c r="D2" t="str">
        <f>'CFRP production'!I38</f>
        <v>PVC Foam production</v>
      </c>
      <c r="E2" t="str">
        <f>'CFRP production'!J38</f>
        <v>CH: disposal, building, bulk iron (excluding reinforcement), to sorting plant</v>
      </c>
      <c r="F2" t="str">
        <f>'CFRP production'!K38</f>
        <v>CH: disposal, polyethylene, 0.4% water, to municipal incineration</v>
      </c>
      <c r="G2" t="str">
        <f>'CFRP production'!L38</f>
        <v>CH: disposal, polyvinylchloride, 0.2% water, to sanitary landfill</v>
      </c>
      <c r="H2" t="str">
        <f>'CFRP production'!M38</f>
        <v>CH: disposal, wood untreated, 20% water, to municipal incineration</v>
      </c>
      <c r="I2" s="8" t="str">
        <f>'CFRP production'!N38</f>
        <v>DK: Powermix</v>
      </c>
      <c r="J2" t="str">
        <f>'CFRP production'!O38</f>
        <v>DK: Structure prodution at Tuco &lt;u-so&gt;</v>
      </c>
      <c r="K2" t="str">
        <f>'CFRP production'!T38</f>
        <v>RER: acetone, liquid, at plant</v>
      </c>
      <c r="L2" t="str">
        <f>'CFRP production'!U38</f>
        <v>RER: acrylic filler, at plant</v>
      </c>
      <c r="M2" t="str">
        <f>'CFRP production'!V38</f>
        <v>RER: cumene, at plant</v>
      </c>
      <c r="N2" t="str">
        <f>'CFRP production'!W38</f>
        <v>RER: epoxy resin, liquid, at plant</v>
      </c>
      <c r="O2" t="str">
        <f>'CFRP production'!X38</f>
        <v>RER: gas motor 206kW</v>
      </c>
      <c r="P2" s="8" t="str">
        <f>'CFRP production'!Y38</f>
        <v>RER: natural gas, burned in industrial furnace low-NOx &gt;100kW</v>
      </c>
      <c r="Q2" t="str">
        <f>'CFRP production'!Z38</f>
        <v>RER: plywood, indoor use, at plant</v>
      </c>
      <c r="R2" t="str">
        <f>'CFRP production'!AA38</f>
        <v>RER: polyester resin, unsaturated, at plant</v>
      </c>
      <c r="S2" t="str">
        <f>'CFRP production'!AB38</f>
        <v>RER: polystyrene, general purpose, GPPS, at plant</v>
      </c>
      <c r="T2" t="str">
        <f>'CFRP production'!AC38</f>
        <v>RER: transport, barge</v>
      </c>
      <c r="U2" t="str">
        <f>'CFRP production'!AD38</f>
        <v>RER: transport, lorry 16-32t, EURO5</v>
      </c>
      <c r="V2" t="s">
        <v>132</v>
      </c>
      <c r="W2">
        <f>'CFRP production'!AF38</f>
        <v>0</v>
      </c>
      <c r="X2">
        <f>'CFRP production'!AG38</f>
        <v>0</v>
      </c>
      <c r="Y2">
        <f>'CFRP production'!AH38</f>
        <v>0</v>
      </c>
      <c r="Z2">
        <f>'CFRP production'!AI38</f>
        <v>0</v>
      </c>
      <c r="AA2">
        <f>'CFRP production'!AJ38</f>
        <v>0</v>
      </c>
      <c r="AB2">
        <f>'CFRP production'!AK38</f>
        <v>0</v>
      </c>
      <c r="AC2">
        <f>'CFRP production'!AL38</f>
        <v>0</v>
      </c>
    </row>
    <row r="3" spans="1:29" x14ac:dyDescent="0.25">
      <c r="A3" t="str">
        <f>'CFRP production'!C44</f>
        <v>Ecosystems</v>
      </c>
      <c r="B3">
        <f>SUM(C3:U3)</f>
        <v>10133.706514480185</v>
      </c>
      <c r="C3">
        <f>'CFRP production'!E44</f>
        <v>2637.4878883003112</v>
      </c>
      <c r="D3">
        <f>'CFRP production'!I44</f>
        <v>738.95094294473745</v>
      </c>
      <c r="E3">
        <f>'CFRP production'!J44</f>
        <v>0.82953739095116863</v>
      </c>
      <c r="F3">
        <f>'CFRP production'!K44</f>
        <v>546.86069670785025</v>
      </c>
      <c r="G3">
        <f>'CFRP production'!L44</f>
        <v>2.5009673549623557</v>
      </c>
      <c r="H3">
        <f>'CFRP production'!M44</f>
        <v>21.50507650230546</v>
      </c>
      <c r="I3" s="9">
        <f>'CFRP production'!N44</f>
        <v>728.00866064863681</v>
      </c>
      <c r="J3">
        <f>'CFRP production'!O44</f>
        <v>6.8165362869236296E-3</v>
      </c>
      <c r="K3">
        <f>'CFRP production'!T44</f>
        <v>31.347730094647041</v>
      </c>
      <c r="L3">
        <f>'CFRP production'!U44</f>
        <v>4.7243629208809645</v>
      </c>
      <c r="M3">
        <f>'CFRP production'!V44</f>
        <v>22.485259593607523</v>
      </c>
      <c r="N3">
        <f>'CFRP production'!W44</f>
        <v>2191.8205632401618</v>
      </c>
      <c r="O3" s="1">
        <f>'CFRP production'!X44</f>
        <v>540.16378373443786</v>
      </c>
      <c r="P3" s="9">
        <f>'CFRP production'!Y44</f>
        <v>1748.2969605322933</v>
      </c>
      <c r="Q3">
        <f>'CFRP production'!Z44</f>
        <v>433.46165566413885</v>
      </c>
      <c r="R3">
        <f>'CFRP production'!AA44</f>
        <v>145.92506792553272</v>
      </c>
      <c r="S3">
        <f>'CFRP production'!AB44</f>
        <v>185.16515569230381</v>
      </c>
      <c r="T3">
        <f>'CFRP production'!AC44</f>
        <v>21.854757507212632</v>
      </c>
      <c r="U3">
        <f>'CFRP production'!AD44</f>
        <v>132.31063118892422</v>
      </c>
      <c r="V3">
        <f>SUM(D3,G3,H3,J3,K3,L3,M3,R3,S3,T3,U3)</f>
        <v>1306.776768261401</v>
      </c>
    </row>
    <row r="4" spans="1:29" x14ac:dyDescent="0.25">
      <c r="A4" t="str">
        <f>'CFRP production'!C45</f>
        <v>Human health</v>
      </c>
      <c r="B4">
        <f t="shared" ref="B4:B5" si="0">SUM(C4:U4)</f>
        <v>14178.144202711117</v>
      </c>
      <c r="C4">
        <f>'CFRP production'!E45</f>
        <v>3688.7967951430123</v>
      </c>
      <c r="D4">
        <f>'CFRP production'!I45</f>
        <v>953.97532493010999</v>
      </c>
      <c r="E4">
        <f>'CFRP production'!J45</f>
        <v>1.1855457676436973</v>
      </c>
      <c r="F4">
        <f>'CFRP production'!K45</f>
        <v>683.31953999198765</v>
      </c>
      <c r="G4">
        <f>'CFRP production'!L45</f>
        <v>6.3949065501798747</v>
      </c>
      <c r="H4">
        <f>'CFRP production'!M45</f>
        <v>25.903837697284175</v>
      </c>
      <c r="I4" s="9">
        <f>'CFRP production'!N45</f>
        <v>906.60472134774272</v>
      </c>
      <c r="J4">
        <f>'CFRP production'!O45</f>
        <v>1.3094576575422232</v>
      </c>
      <c r="K4">
        <f>'CFRP production'!T45</f>
        <v>45.684944575591828</v>
      </c>
      <c r="L4">
        <f>'CFRP production'!U45</f>
        <v>6.4705690411495009</v>
      </c>
      <c r="M4">
        <f>'CFRP production'!V45</f>
        <v>30.858070843587793</v>
      </c>
      <c r="N4">
        <f>'CFRP production'!W45</f>
        <v>4157.766923410346</v>
      </c>
      <c r="O4">
        <f>'CFRP production'!X45</f>
        <v>885.81379048382746</v>
      </c>
      <c r="P4" s="9">
        <f>'CFRP production'!Y45</f>
        <v>2074.3297116365488</v>
      </c>
      <c r="Q4">
        <f>'CFRP production'!Z45</f>
        <v>57.175404637722238</v>
      </c>
      <c r="R4">
        <f>'CFRP production'!AA45</f>
        <v>193.28501395971944</v>
      </c>
      <c r="S4">
        <f>'CFRP production'!AB45</f>
        <v>257.5454740005992</v>
      </c>
      <c r="T4">
        <f>'CFRP production'!AC45</f>
        <v>30.037297795077713</v>
      </c>
      <c r="U4">
        <f>'CFRP production'!AD45</f>
        <v>171.68687324144378</v>
      </c>
      <c r="V4">
        <f t="shared" ref="V4:V5" si="1">SUM(D4,G4,H4,J4,K4,L4,M4,R4,S4,T4,U4)</f>
        <v>1723.1517702922852</v>
      </c>
    </row>
    <row r="5" spans="1:29" x14ac:dyDescent="0.25">
      <c r="A5" t="str">
        <f>'CFRP production'!C46</f>
        <v>Resources</v>
      </c>
      <c r="B5">
        <f t="shared" si="0"/>
        <v>36326.555052576419</v>
      </c>
      <c r="C5">
        <f>'CFRP production'!E46</f>
        <v>10158.050703471958</v>
      </c>
      <c r="D5">
        <f>'CFRP production'!I46</f>
        <v>3129.0342025247642</v>
      </c>
      <c r="E5">
        <f>'CFRP production'!J46</f>
        <v>2.5550452831584018</v>
      </c>
      <c r="F5">
        <f>'CFRP production'!K46</f>
        <v>9.4764092442984946</v>
      </c>
      <c r="G5">
        <f>'CFRP production'!L46</f>
        <v>2.4024446482301904</v>
      </c>
      <c r="H5">
        <f>'CFRP production'!M46</f>
        <v>0.59217479962827901</v>
      </c>
      <c r="I5" s="9">
        <f>'CFRP production'!N46</f>
        <v>2048.5268579453959</v>
      </c>
      <c r="J5">
        <f>'CFRP production'!O46</f>
        <v>0</v>
      </c>
      <c r="K5">
        <f>'CFRP production'!T46</f>
        <v>197.84118295342114</v>
      </c>
      <c r="L5">
        <f>'CFRP production'!U46</f>
        <v>23.524364615409862</v>
      </c>
      <c r="M5">
        <f>'CFRP production'!V46</f>
        <v>156.65475779314366</v>
      </c>
      <c r="N5">
        <f>'CFRP production'!W46</f>
        <v>8737.9381602862268</v>
      </c>
      <c r="O5">
        <f>'CFRP production'!X46</f>
        <v>3563.2890009317048</v>
      </c>
      <c r="P5" s="9">
        <f>'CFRP production'!Y46</f>
        <v>6332.9733835541692</v>
      </c>
      <c r="Q5">
        <f>'CFRP production'!Z46</f>
        <v>63.204002169300146</v>
      </c>
      <c r="R5">
        <f>'CFRP production'!AA46</f>
        <v>476.51345823448133</v>
      </c>
      <c r="S5">
        <f>'CFRP production'!AB46</f>
        <v>962.87564787465647</v>
      </c>
      <c r="T5">
        <f>'CFRP production'!AC46</f>
        <v>47.921722363065321</v>
      </c>
      <c r="U5">
        <f>'CFRP production'!AD46</f>
        <v>413.18153388339704</v>
      </c>
      <c r="V5">
        <f t="shared" si="1"/>
        <v>5410.5414896901966</v>
      </c>
    </row>
    <row r="6" spans="1:29" x14ac:dyDescent="0.25">
      <c r="B6" s="66" t="s">
        <v>187</v>
      </c>
      <c r="C6" s="66"/>
      <c r="D6" s="66"/>
      <c r="E6" s="66"/>
      <c r="F6" s="66"/>
      <c r="G6" s="66"/>
      <c r="H6" s="66"/>
      <c r="I6" s="66"/>
      <c r="J6" s="66"/>
    </row>
    <row r="7" spans="1:29" x14ac:dyDescent="0.25">
      <c r="A7" t="str">
        <f>A3</f>
        <v>Ecosystems</v>
      </c>
      <c r="B7" s="18">
        <f>SUM(C7,F7,I7,N7,O7,P7,Q7,V7,D7)</f>
        <v>0.99999999999999978</v>
      </c>
      <c r="C7" s="19">
        <f>C3/$B3</f>
        <v>0.26026882508700744</v>
      </c>
      <c r="D7" s="33">
        <f t="shared" ref="D7:U9" si="2">D3/$B3</f>
        <v>7.2920104987137802E-2</v>
      </c>
      <c r="E7" s="32">
        <f t="shared" si="2"/>
        <v>8.1859227891179984E-5</v>
      </c>
      <c r="F7" s="18">
        <f t="shared" si="2"/>
        <v>5.3964528766096975E-2</v>
      </c>
      <c r="G7" s="32">
        <f t="shared" si="2"/>
        <v>2.4679690016566897E-4</v>
      </c>
      <c r="H7" s="32">
        <f t="shared" si="2"/>
        <v>2.1221333449490151E-3</v>
      </c>
      <c r="I7" s="18">
        <f t="shared" si="2"/>
        <v>7.1840314262937827E-2</v>
      </c>
      <c r="J7" s="32">
        <f t="shared" si="2"/>
        <v>6.7265972990074189E-7</v>
      </c>
      <c r="K7" s="32">
        <f t="shared" si="2"/>
        <v>3.0934120748270992E-3</v>
      </c>
      <c r="L7" s="32">
        <f t="shared" si="2"/>
        <v>4.6620285619385765E-4</v>
      </c>
      <c r="M7" s="32">
        <f t="shared" si="2"/>
        <v>2.2188583773842317E-3</v>
      </c>
      <c r="N7" s="19">
        <f t="shared" si="2"/>
        <v>0.21629011656379044</v>
      </c>
      <c r="O7" s="18">
        <f t="shared" si="2"/>
        <v>5.3303673533725372E-2</v>
      </c>
      <c r="P7" s="19">
        <f t="shared" si="2"/>
        <v>0.17252295179795557</v>
      </c>
      <c r="Q7" s="18">
        <f t="shared" si="2"/>
        <v>4.2774246031771282E-2</v>
      </c>
      <c r="R7" s="32">
        <f t="shared" si="2"/>
        <v>1.4399969815291028E-2</v>
      </c>
      <c r="S7" s="32">
        <f t="shared" si="2"/>
        <v>1.8272204294422667E-2</v>
      </c>
      <c r="T7" s="32">
        <f t="shared" si="2"/>
        <v>2.1566400680722384E-3</v>
      </c>
      <c r="U7" s="32">
        <f t="shared" si="2"/>
        <v>1.3056489350650114E-2</v>
      </c>
      <c r="V7" s="18">
        <f>SUM(E7,G7,H7,J7,K7,L7,M7,R7,S7,T7,U7)</f>
        <v>5.6115238969577E-2</v>
      </c>
    </row>
    <row r="8" spans="1:29" x14ac:dyDescent="0.25">
      <c r="A8" t="str">
        <f t="shared" ref="A8:A9" si="3">A4</f>
        <v>Human health</v>
      </c>
      <c r="B8" s="18">
        <f t="shared" ref="B8:B9" si="4">SUM(C8,F8,I8,N8,O8,P8,Q8,V8,D8)</f>
        <v>1</v>
      </c>
      <c r="C8" s="19">
        <f t="shared" ref="C8:R9" si="5">C4/$B4</f>
        <v>0.26017486790955674</v>
      </c>
      <c r="D8" s="33">
        <f t="shared" si="5"/>
        <v>6.7284921869231143E-2</v>
      </c>
      <c r="E8" s="32">
        <f t="shared" si="5"/>
        <v>8.3617838180613196E-5</v>
      </c>
      <c r="F8" s="18">
        <f t="shared" si="5"/>
        <v>4.8195273670677198E-2</v>
      </c>
      <c r="G8" s="32">
        <f t="shared" si="5"/>
        <v>4.5103974531145288E-4</v>
      </c>
      <c r="H8" s="32">
        <f t="shared" si="5"/>
        <v>1.8270259722940956E-3</v>
      </c>
      <c r="I8" s="18">
        <f t="shared" si="5"/>
        <v>6.394382144698342E-2</v>
      </c>
      <c r="J8" s="32">
        <f t="shared" si="5"/>
        <v>9.2357479146800561E-5</v>
      </c>
      <c r="K8" s="32">
        <f t="shared" si="5"/>
        <v>3.2222090509458948E-3</v>
      </c>
      <c r="L8" s="32">
        <f t="shared" si="5"/>
        <v>4.5637630345953255E-4</v>
      </c>
      <c r="M8" s="32">
        <f t="shared" si="5"/>
        <v>2.1764534485188246E-3</v>
      </c>
      <c r="N8" s="19">
        <f t="shared" si="5"/>
        <v>0.2932518433981865</v>
      </c>
      <c r="O8" s="18">
        <f t="shared" si="5"/>
        <v>6.2477414379411088E-2</v>
      </c>
      <c r="P8" s="19">
        <f t="shared" si="5"/>
        <v>0.14630474073185823</v>
      </c>
      <c r="Q8" s="18">
        <f t="shared" si="5"/>
        <v>4.0326437522612635E-3</v>
      </c>
      <c r="R8" s="32">
        <f t="shared" si="5"/>
        <v>1.3632603195188256E-2</v>
      </c>
      <c r="S8" s="32">
        <f t="shared" si="2"/>
        <v>1.8164963645337439E-2</v>
      </c>
      <c r="T8" s="32">
        <f t="shared" si="2"/>
        <v>2.1185634287267329E-3</v>
      </c>
      <c r="U8" s="32">
        <f t="shared" si="2"/>
        <v>1.2109262734724771E-2</v>
      </c>
      <c r="V8" s="18">
        <f t="shared" ref="V8:V9" si="6">SUM(E8,G8,H8,J8,K8,L8,M8,R8,S8,T8,U8)</f>
        <v>5.4334472841834416E-2</v>
      </c>
    </row>
    <row r="9" spans="1:29" x14ac:dyDescent="0.25">
      <c r="A9" t="str">
        <f t="shared" si="3"/>
        <v>Resources</v>
      </c>
      <c r="B9" s="18">
        <f t="shared" si="4"/>
        <v>0.99999999999999978</v>
      </c>
      <c r="C9" s="19">
        <f t="shared" si="5"/>
        <v>0.27963154471350044</v>
      </c>
      <c r="D9" s="33">
        <f t="shared" si="2"/>
        <v>8.6136276836491305E-2</v>
      </c>
      <c r="E9" s="32">
        <f t="shared" si="2"/>
        <v>7.0335468900379201E-5</v>
      </c>
      <c r="F9" s="18">
        <f t="shared" si="2"/>
        <v>2.6086726997875324E-4</v>
      </c>
      <c r="G9" s="32">
        <f t="shared" si="2"/>
        <v>6.6134667731445115E-5</v>
      </c>
      <c r="H9" s="32">
        <f t="shared" si="2"/>
        <v>1.630143014583156E-5</v>
      </c>
      <c r="I9" s="18">
        <f>I5/$B5</f>
        <v>5.6391993542478959E-2</v>
      </c>
      <c r="J9" s="32">
        <f t="shared" si="2"/>
        <v>0</v>
      </c>
      <c r="K9" s="32">
        <f t="shared" si="2"/>
        <v>5.4461862036485481E-3</v>
      </c>
      <c r="L9" s="32">
        <f t="shared" si="2"/>
        <v>6.475803879933675E-4</v>
      </c>
      <c r="M9" s="32">
        <f t="shared" si="2"/>
        <v>4.3124033524900157E-3</v>
      </c>
      <c r="N9" s="19">
        <f t="shared" si="2"/>
        <v>0.24053858527569072</v>
      </c>
      <c r="O9" s="18">
        <f t="shared" si="2"/>
        <v>9.8090473918445026E-2</v>
      </c>
      <c r="P9" s="19">
        <f t="shared" si="2"/>
        <v>0.17433454326699252</v>
      </c>
      <c r="Q9" s="18">
        <f t="shared" si="2"/>
        <v>1.7398842823885519E-3</v>
      </c>
      <c r="R9" s="32">
        <f t="shared" si="2"/>
        <v>1.3117496485554722E-2</v>
      </c>
      <c r="S9" s="32">
        <f t="shared" si="2"/>
        <v>2.6506109552118556E-2</v>
      </c>
      <c r="T9" s="32">
        <f t="shared" si="2"/>
        <v>1.3191925932339826E-3</v>
      </c>
      <c r="U9" s="32">
        <f t="shared" si="2"/>
        <v>1.137409075221661E-2</v>
      </c>
      <c r="V9" s="18">
        <f t="shared" si="6"/>
        <v>6.2875830894033452E-2</v>
      </c>
    </row>
    <row r="10" spans="1:29" x14ac:dyDescent="0.25">
      <c r="C10">
        <v>1</v>
      </c>
      <c r="D10">
        <v>1</v>
      </c>
      <c r="F10">
        <v>1</v>
      </c>
      <c r="I10">
        <v>1</v>
      </c>
      <c r="N10">
        <v>1</v>
      </c>
      <c r="O10">
        <v>1</v>
      </c>
      <c r="P10">
        <v>1</v>
      </c>
      <c r="Q10">
        <v>1</v>
      </c>
      <c r="V10">
        <v>1</v>
      </c>
    </row>
    <row r="11" spans="1:29" x14ac:dyDescent="0.25">
      <c r="C11" t="str">
        <f>C2</f>
        <v>Carbonfiber production</v>
      </c>
      <c r="D11" t="str">
        <f t="shared" ref="D11" si="7">D2</f>
        <v>PVC Foam production</v>
      </c>
      <c r="E11" t="str">
        <f>F2</f>
        <v>CH: disposal, polyethylene, 0.4% water, to municipal incineration</v>
      </c>
      <c r="F11" t="str">
        <f>I2</f>
        <v>DK: Powermix</v>
      </c>
      <c r="G11" t="str">
        <f>N2</f>
        <v>RER: epoxy resin, liquid, at plant</v>
      </c>
      <c r="H11" t="str">
        <f>O2</f>
        <v>RER: gas motor 206kW</v>
      </c>
      <c r="I11" t="str">
        <f>P2</f>
        <v>RER: natural gas, burned in industrial furnace low-NOx &gt;100kW</v>
      </c>
      <c r="J11" t="str">
        <f>Q2</f>
        <v>RER: plywood, indoor use, at plant</v>
      </c>
      <c r="K11" t="str">
        <f>V2</f>
        <v>Other</v>
      </c>
    </row>
    <row r="12" spans="1:29" x14ac:dyDescent="0.25">
      <c r="A12" t="str">
        <f>A7</f>
        <v>Ecosystems</v>
      </c>
      <c r="C12">
        <f t="shared" ref="C12:D12" si="8">C7</f>
        <v>0.26026882508700744</v>
      </c>
      <c r="D12">
        <f t="shared" si="8"/>
        <v>7.2920104987137802E-2</v>
      </c>
      <c r="E12">
        <f>F7</f>
        <v>5.3964528766096975E-2</v>
      </c>
      <c r="F12">
        <f>I7</f>
        <v>7.1840314262937827E-2</v>
      </c>
      <c r="G12">
        <f t="shared" ref="G12:J15" si="9">N7</f>
        <v>0.21629011656379044</v>
      </c>
      <c r="H12">
        <f t="shared" si="9"/>
        <v>5.3303673533725372E-2</v>
      </c>
      <c r="I12" s="18">
        <f>P7</f>
        <v>0.17252295179795557</v>
      </c>
      <c r="J12">
        <f t="shared" si="9"/>
        <v>4.2774246031771282E-2</v>
      </c>
      <c r="K12">
        <f>V7</f>
        <v>5.6115238969577E-2</v>
      </c>
    </row>
    <row r="13" spans="1:29" x14ac:dyDescent="0.25">
      <c r="A13" t="str">
        <f t="shared" ref="A13:D13" si="10">A8</f>
        <v>Human health</v>
      </c>
      <c r="C13">
        <f t="shared" si="10"/>
        <v>0.26017486790955674</v>
      </c>
      <c r="D13">
        <f t="shared" si="10"/>
        <v>6.7284921869231143E-2</v>
      </c>
      <c r="E13">
        <f>F8</f>
        <v>4.8195273670677198E-2</v>
      </c>
      <c r="F13">
        <f>I8</f>
        <v>6.394382144698342E-2</v>
      </c>
      <c r="G13">
        <f t="shared" si="9"/>
        <v>0.2932518433981865</v>
      </c>
      <c r="H13">
        <f t="shared" si="9"/>
        <v>6.2477414379411088E-2</v>
      </c>
      <c r="I13" s="18">
        <f>P8</f>
        <v>0.14630474073185823</v>
      </c>
      <c r="J13">
        <f t="shared" si="9"/>
        <v>4.0326437522612635E-3</v>
      </c>
      <c r="K13">
        <f>V8</f>
        <v>5.4334472841834416E-2</v>
      </c>
    </row>
    <row r="14" spans="1:29" x14ac:dyDescent="0.25">
      <c r="A14" t="str">
        <f t="shared" ref="A14:D14" si="11">A9</f>
        <v>Resources</v>
      </c>
      <c r="C14">
        <f t="shared" si="11"/>
        <v>0.27963154471350044</v>
      </c>
      <c r="D14">
        <f t="shared" si="11"/>
        <v>8.6136276836491305E-2</v>
      </c>
      <c r="E14">
        <f>F9</f>
        <v>2.6086726997875324E-4</v>
      </c>
      <c r="F14">
        <f>I9</f>
        <v>5.6391993542478959E-2</v>
      </c>
      <c r="G14">
        <f t="shared" si="9"/>
        <v>0.24053858527569072</v>
      </c>
      <c r="H14">
        <f t="shared" si="9"/>
        <v>9.8090473918445026E-2</v>
      </c>
      <c r="I14">
        <f t="shared" si="9"/>
        <v>0.17433454326699252</v>
      </c>
      <c r="J14">
        <f t="shared" si="9"/>
        <v>1.7398842823885519E-3</v>
      </c>
      <c r="K14">
        <f>V9</f>
        <v>6.2875830894033452E-2</v>
      </c>
    </row>
    <row r="15" spans="1:29" x14ac:dyDescent="0.25">
      <c r="A15">
        <f t="shared" ref="A15:D15" si="12">A10</f>
        <v>0</v>
      </c>
      <c r="B15">
        <f t="shared" si="12"/>
        <v>0</v>
      </c>
      <c r="C15">
        <f t="shared" si="12"/>
        <v>1</v>
      </c>
      <c r="D15">
        <f t="shared" si="12"/>
        <v>1</v>
      </c>
      <c r="E15">
        <f>F10</f>
        <v>1</v>
      </c>
      <c r="F15">
        <f>I10</f>
        <v>1</v>
      </c>
      <c r="G15">
        <f t="shared" si="9"/>
        <v>1</v>
      </c>
      <c r="H15">
        <f t="shared" si="9"/>
        <v>1</v>
      </c>
      <c r="I15">
        <f t="shared" si="9"/>
        <v>1</v>
      </c>
      <c r="J15">
        <f t="shared" si="9"/>
        <v>1</v>
      </c>
      <c r="K15">
        <f>V10</f>
        <v>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A10" workbookViewId="0">
      <selection activeCell="E51" sqref="E51"/>
    </sheetView>
  </sheetViews>
  <sheetFormatPr defaultRowHeight="15" x14ac:dyDescent="0.25"/>
  <cols>
    <col min="1" max="1" width="13.7109375" bestFit="1" customWidth="1"/>
    <col min="2" max="2" width="4.28515625" customWidth="1"/>
    <col min="3" max="3" width="38.28515625" bestFit="1" customWidth="1"/>
    <col min="4" max="4" width="20.42578125" bestFit="1" customWidth="1"/>
    <col min="5" max="5" width="19.140625" bestFit="1" customWidth="1"/>
    <col min="6" max="6" width="19.5703125" bestFit="1" customWidth="1"/>
    <col min="7" max="7" width="18.42578125" bestFit="1" customWidth="1"/>
    <col min="8" max="8" width="19.42578125" bestFit="1" customWidth="1"/>
    <col min="9" max="9" width="6.28515625" customWidth="1"/>
    <col min="10" max="10" width="12.5703125" bestFit="1" customWidth="1"/>
    <col min="11" max="13" width="12" bestFit="1" customWidth="1"/>
    <col min="14" max="14" width="13.5703125" bestFit="1" customWidth="1"/>
    <col min="16" max="16" width="13.42578125" bestFit="1" customWidth="1"/>
    <col min="17" max="17" width="12.5703125" bestFit="1" customWidth="1"/>
  </cols>
  <sheetData>
    <row r="1" spans="1:17" x14ac:dyDescent="0.25">
      <c r="A1" s="4"/>
      <c r="B1" s="4"/>
      <c r="C1" s="4" t="s">
        <v>6</v>
      </c>
      <c r="D1" s="4">
        <v>100</v>
      </c>
      <c r="E1" s="4"/>
      <c r="F1" s="4"/>
      <c r="G1" s="4"/>
      <c r="H1" s="4"/>
      <c r="I1" s="4"/>
    </row>
    <row r="2" spans="1:17" x14ac:dyDescent="0.25">
      <c r="A2" s="4" t="s">
        <v>0</v>
      </c>
      <c r="B2" s="4"/>
      <c r="C2" s="5" t="s">
        <v>7</v>
      </c>
      <c r="D2" s="4">
        <f>1000000</f>
        <v>1000000</v>
      </c>
      <c r="E2" s="4"/>
      <c r="F2" s="4"/>
      <c r="G2" s="4"/>
      <c r="H2" s="4"/>
      <c r="I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x14ac:dyDescent="0.25">
      <c r="A4" s="4"/>
      <c r="B4" s="4"/>
      <c r="C4" s="6" t="s">
        <v>8</v>
      </c>
      <c r="D4" s="4"/>
      <c r="E4" s="4"/>
      <c r="F4" s="6" t="s">
        <v>50</v>
      </c>
      <c r="G4" s="4"/>
      <c r="H4" s="4"/>
      <c r="I4" s="4"/>
      <c r="L4" s="2" t="s">
        <v>52</v>
      </c>
      <c r="P4" t="s">
        <v>55</v>
      </c>
    </row>
    <row r="5" spans="1:17" x14ac:dyDescent="0.25">
      <c r="A5" s="4"/>
      <c r="B5" s="4"/>
      <c r="D5" t="s">
        <v>54</v>
      </c>
      <c r="E5" t="s">
        <v>1</v>
      </c>
      <c r="F5" t="s">
        <v>2</v>
      </c>
      <c r="G5" t="s">
        <v>3</v>
      </c>
      <c r="H5" t="s">
        <v>5</v>
      </c>
      <c r="J5" t="s">
        <v>53</v>
      </c>
      <c r="K5" t="s">
        <v>1</v>
      </c>
      <c r="L5" t="s">
        <v>2</v>
      </c>
      <c r="M5" t="s">
        <v>3</v>
      </c>
      <c r="N5" t="s">
        <v>5</v>
      </c>
      <c r="P5" t="s">
        <v>49</v>
      </c>
      <c r="Q5" t="s">
        <v>51</v>
      </c>
    </row>
    <row r="6" spans="1:17" x14ac:dyDescent="0.25">
      <c r="A6" s="4"/>
      <c r="B6" s="4"/>
      <c r="C6" s="3" t="s">
        <v>9</v>
      </c>
      <c r="D6" s="22">
        <v>3.8963749432756897E-4</v>
      </c>
      <c r="E6" s="23">
        <v>-1.85421554256514E-5</v>
      </c>
      <c r="F6" s="22">
        <v>3.2148823485085701E-4</v>
      </c>
      <c r="G6" s="23">
        <v>-2.25805253770948E-6</v>
      </c>
      <c r="H6" s="23">
        <v>8.8949467440073199E-5</v>
      </c>
      <c r="I6" s="22"/>
      <c r="J6" s="22">
        <v>4.3785240153243899E-4</v>
      </c>
      <c r="K6" s="23">
        <v>1.2304986583539201E-7</v>
      </c>
      <c r="L6" s="22">
        <v>2.3404952134081501E-4</v>
      </c>
      <c r="M6" s="23">
        <v>2.09820225440172E-5</v>
      </c>
      <c r="N6" s="22">
        <v>1.82697807781772E-4</v>
      </c>
      <c r="P6" s="1">
        <f>G6+H6</f>
        <v>8.6691414902363714E-5</v>
      </c>
      <c r="Q6" s="1">
        <f>M6+N6</f>
        <v>2.036798303257892E-4</v>
      </c>
    </row>
    <row r="7" spans="1:17" x14ac:dyDescent="0.25">
      <c r="A7" s="4"/>
      <c r="B7" s="4"/>
      <c r="C7" t="s">
        <v>10</v>
      </c>
      <c r="D7" s="22">
        <v>0.32995056662441502</v>
      </c>
      <c r="E7" s="22">
        <v>-4.22236439296965E-4</v>
      </c>
      <c r="F7" s="22">
        <v>0.32715254742216998</v>
      </c>
      <c r="G7" s="23">
        <v>8.8836765114795306E-5</v>
      </c>
      <c r="H7" s="22">
        <v>3.1314188764267501E-3</v>
      </c>
      <c r="I7" s="22"/>
      <c r="J7" s="22">
        <v>0.24231416846482501</v>
      </c>
      <c r="K7" s="23">
        <v>2.5307868158581601E-5</v>
      </c>
      <c r="L7" s="22">
        <v>0.23802702513219801</v>
      </c>
      <c r="M7" s="22">
        <v>1.5426481331003699E-3</v>
      </c>
      <c r="N7" s="22">
        <v>2.7191873313682701E-3</v>
      </c>
      <c r="P7" s="1">
        <f t="shared" ref="P7:P22" si="0">G7+H7</f>
        <v>3.2202556415415456E-3</v>
      </c>
      <c r="Q7" s="1">
        <f t="shared" ref="Q7:Q22" si="1">M7+N7</f>
        <v>4.26183546446864E-3</v>
      </c>
    </row>
    <row r="8" spans="1:17" x14ac:dyDescent="0.25">
      <c r="A8" s="4"/>
      <c r="B8" s="4"/>
      <c r="C8" t="s">
        <v>11</v>
      </c>
      <c r="D8" s="22">
        <v>58.252439636796701</v>
      </c>
      <c r="E8" s="22">
        <v>-7.4562339003626396E-2</v>
      </c>
      <c r="F8" s="22">
        <v>57.758706538942299</v>
      </c>
      <c r="G8" s="22">
        <v>1.56779982401162E-2</v>
      </c>
      <c r="H8" s="22">
        <v>0.55261743861791301</v>
      </c>
      <c r="I8" s="22"/>
      <c r="J8" s="22">
        <v>42.780648906195303</v>
      </c>
      <c r="K8" s="22">
        <v>4.4719287527746803E-3</v>
      </c>
      <c r="L8" s="22">
        <v>42.023617809036402</v>
      </c>
      <c r="M8" s="22">
        <v>0.27236995857162999</v>
      </c>
      <c r="N8" s="22">
        <v>0.48018920983449598</v>
      </c>
      <c r="P8" s="1">
        <f t="shared" si="0"/>
        <v>0.56829543685802919</v>
      </c>
      <c r="Q8" s="1">
        <f t="shared" si="1"/>
        <v>0.75255916840612591</v>
      </c>
    </row>
    <row r="9" spans="1:17" x14ac:dyDescent="0.25">
      <c r="A9" s="4"/>
      <c r="B9" s="4"/>
      <c r="C9" t="s">
        <v>12</v>
      </c>
      <c r="D9" s="22">
        <v>234493382.80238</v>
      </c>
      <c r="E9" s="22">
        <v>-307527.783447675</v>
      </c>
      <c r="F9" s="22">
        <v>233290433.83454901</v>
      </c>
      <c r="G9" s="22">
        <v>95607.521952078605</v>
      </c>
      <c r="H9" s="22">
        <v>1414869.2293267499</v>
      </c>
      <c r="I9" s="22"/>
      <c r="J9" s="22">
        <v>173257722.34739</v>
      </c>
      <c r="K9" s="22">
        <v>3445.7012042435499</v>
      </c>
      <c r="L9" s="22">
        <v>169741469.40583801</v>
      </c>
      <c r="M9" s="22">
        <v>1046013.91690946</v>
      </c>
      <c r="N9" s="22">
        <v>2466793.3234388302</v>
      </c>
      <c r="P9" s="1">
        <f t="shared" si="0"/>
        <v>1510476.7512788286</v>
      </c>
      <c r="Q9" s="1">
        <f t="shared" si="1"/>
        <v>3512807.2403482902</v>
      </c>
    </row>
    <row r="10" spans="1:17" x14ac:dyDescent="0.25">
      <c r="A10" s="4"/>
      <c r="B10" s="4"/>
      <c r="C10" t="s">
        <v>13</v>
      </c>
      <c r="D10" s="23">
        <v>5.0822124985410402E-6</v>
      </c>
      <c r="E10" s="23">
        <v>-1.9151340086324701E-8</v>
      </c>
      <c r="F10" s="23">
        <v>4.7420286172864204E-6</v>
      </c>
      <c r="G10" s="23">
        <v>1.3198130004388099E-7</v>
      </c>
      <c r="H10" s="23">
        <v>2.2735392129705601E-7</v>
      </c>
      <c r="I10" s="22"/>
      <c r="J10" s="23">
        <v>4.2011584249604901E-6</v>
      </c>
      <c r="K10" s="23">
        <v>4.7685246479247003E-7</v>
      </c>
      <c r="L10" s="23">
        <v>3.4515153519811401E-6</v>
      </c>
      <c r="M10" s="23">
        <v>2.1753988694826999E-7</v>
      </c>
      <c r="N10" s="23">
        <v>5.5250721238609601E-8</v>
      </c>
      <c r="P10" s="1">
        <f t="shared" si="0"/>
        <v>3.5933522134093697E-7</v>
      </c>
      <c r="Q10" s="1">
        <f t="shared" si="1"/>
        <v>2.7279060818687959E-7</v>
      </c>
    </row>
    <row r="11" spans="1:17" x14ac:dyDescent="0.25">
      <c r="A11" s="4"/>
      <c r="B11" s="4"/>
      <c r="C11" t="s">
        <v>14</v>
      </c>
      <c r="D11" s="23">
        <v>4.7991306298782304E-6</v>
      </c>
      <c r="E11" s="23">
        <v>-1.8370677260531501E-8</v>
      </c>
      <c r="F11" s="23">
        <v>4.4640915348807001E-6</v>
      </c>
      <c r="G11" s="23">
        <v>4.3330246508252899E-8</v>
      </c>
      <c r="H11" s="23">
        <v>3.1007952574980802E-7</v>
      </c>
      <c r="I11" s="22"/>
      <c r="J11" s="23">
        <v>3.46006712413142E-6</v>
      </c>
      <c r="K11" s="23">
        <v>1.2412453655796999E-10</v>
      </c>
      <c r="L11" s="23">
        <v>3.2494836241506502E-6</v>
      </c>
      <c r="M11" s="23">
        <v>4.3830953764151699E-8</v>
      </c>
      <c r="N11" s="23">
        <v>1.66628421680063E-7</v>
      </c>
      <c r="P11" s="1">
        <f t="shared" si="0"/>
        <v>3.5340977225806093E-7</v>
      </c>
      <c r="Q11" s="1">
        <f t="shared" si="1"/>
        <v>2.1045937544421471E-7</v>
      </c>
    </row>
    <row r="12" spans="1:17" x14ac:dyDescent="0.25">
      <c r="A12" s="4"/>
      <c r="B12" s="4"/>
      <c r="C12" t="s">
        <v>15</v>
      </c>
      <c r="D12" s="22">
        <v>0.34217963011153202</v>
      </c>
      <c r="E12" s="22">
        <v>-1.0860764150273699E-3</v>
      </c>
      <c r="F12" s="22">
        <v>0.33013454455741997</v>
      </c>
      <c r="G12" s="22">
        <v>7.8169497822539802E-4</v>
      </c>
      <c r="H12" s="22">
        <v>1.2349466990913899E-2</v>
      </c>
      <c r="I12" s="22"/>
      <c r="J12" s="22">
        <v>0.25626163104792699</v>
      </c>
      <c r="K12" s="22">
        <v>7.5756939240089497E-3</v>
      </c>
      <c r="L12" s="22">
        <v>0.240264647032009</v>
      </c>
      <c r="M12" s="22">
        <v>3.92325199831829E-3</v>
      </c>
      <c r="N12" s="22">
        <v>4.49803809359054E-3</v>
      </c>
      <c r="P12" s="1">
        <f t="shared" si="0"/>
        <v>1.3131161969139297E-2</v>
      </c>
      <c r="Q12" s="1">
        <f t="shared" si="1"/>
        <v>8.4212900919088292E-3</v>
      </c>
    </row>
    <row r="13" spans="1:17" x14ac:dyDescent="0.25">
      <c r="A13" s="4"/>
      <c r="B13" s="4"/>
      <c r="C13" t="s">
        <v>16</v>
      </c>
      <c r="D13" s="22">
        <v>5116.3129739960305</v>
      </c>
      <c r="E13" s="22">
        <v>-50.561042566100802</v>
      </c>
      <c r="F13" s="22">
        <v>4683.1846771067603</v>
      </c>
      <c r="G13" s="22">
        <v>9.1325302183933399</v>
      </c>
      <c r="H13" s="22">
        <v>474.55680923697997</v>
      </c>
      <c r="I13" s="22"/>
      <c r="J13" s="22">
        <v>3858.7450008441701</v>
      </c>
      <c r="K13" s="22">
        <v>0.48994942806311997</v>
      </c>
      <c r="L13" s="22">
        <v>3416.0260310592098</v>
      </c>
      <c r="M13" s="22">
        <v>60.4472964991363</v>
      </c>
      <c r="N13" s="22">
        <v>381.78172385776401</v>
      </c>
      <c r="P13" s="1">
        <f t="shared" si="0"/>
        <v>483.68933945537333</v>
      </c>
      <c r="Q13" s="1">
        <f t="shared" si="1"/>
        <v>442.22902035690032</v>
      </c>
    </row>
    <row r="14" spans="1:17" x14ac:dyDescent="0.25">
      <c r="A14" s="4"/>
      <c r="B14" s="4"/>
      <c r="C14" t="s">
        <v>17</v>
      </c>
      <c r="D14" s="23">
        <v>1.7958442071968601E-8</v>
      </c>
      <c r="E14" s="23">
        <v>-5.8592165192242698E-11</v>
      </c>
      <c r="F14" s="23">
        <v>1.69194070899864E-8</v>
      </c>
      <c r="G14" s="23">
        <v>3.9887313762216998E-10</v>
      </c>
      <c r="H14" s="23">
        <v>6.9875400955224896E-10</v>
      </c>
      <c r="I14" s="22"/>
      <c r="J14" s="23">
        <v>1.45519685598637E-8</v>
      </c>
      <c r="K14" s="23">
        <v>1.43603837478078E-9</v>
      </c>
      <c r="L14" s="23">
        <v>1.23134901095848E-8</v>
      </c>
      <c r="M14" s="23">
        <v>6.7335618181627395E-10</v>
      </c>
      <c r="N14" s="23">
        <v>1.2908389368182301E-10</v>
      </c>
      <c r="P14" s="1">
        <f t="shared" si="0"/>
        <v>1.0976271471744188E-9</v>
      </c>
      <c r="Q14" s="1">
        <f t="shared" si="1"/>
        <v>8.0244007549809693E-10</v>
      </c>
    </row>
    <row r="15" spans="1:17" x14ac:dyDescent="0.25">
      <c r="A15" s="4"/>
      <c r="B15" s="4"/>
      <c r="C15" t="s">
        <v>18</v>
      </c>
      <c r="D15" s="22">
        <v>20807.015742880099</v>
      </c>
      <c r="E15" s="22">
        <v>-794.221906312589</v>
      </c>
      <c r="F15" s="22">
        <v>13732.8775738771</v>
      </c>
      <c r="G15" s="22">
        <v>2082.0837113593402</v>
      </c>
      <c r="H15" s="22">
        <v>5786.2763639562299</v>
      </c>
      <c r="I15" s="22"/>
      <c r="J15" s="22">
        <v>12160.227024674199</v>
      </c>
      <c r="K15" s="22">
        <v>2.0341005300703401</v>
      </c>
      <c r="L15" s="22">
        <v>9993.6260798859093</v>
      </c>
      <c r="M15" s="22">
        <v>1865.1812541686299</v>
      </c>
      <c r="N15" s="22">
        <v>299.38559008961897</v>
      </c>
      <c r="P15" s="1">
        <f t="shared" si="0"/>
        <v>7868.3600753155697</v>
      </c>
      <c r="Q15" s="1">
        <f t="shared" si="1"/>
        <v>2164.5668442582491</v>
      </c>
    </row>
    <row r="16" spans="1:17" x14ac:dyDescent="0.25">
      <c r="A16" s="4"/>
      <c r="B16" s="4"/>
      <c r="C16" t="s">
        <v>19</v>
      </c>
      <c r="D16" s="22">
        <v>3.8234535135271301E-2</v>
      </c>
      <c r="E16" s="23">
        <v>-2.7448945393557098E-5</v>
      </c>
      <c r="F16" s="22">
        <v>3.8157912954873197E-2</v>
      </c>
      <c r="G16" s="23">
        <v>-3.5466053909032402E-7</v>
      </c>
      <c r="H16" s="22">
        <v>1.0442578633068101E-4</v>
      </c>
      <c r="I16" s="22"/>
      <c r="J16" s="22">
        <v>2.78383452041715E-2</v>
      </c>
      <c r="K16" s="23">
        <v>-1.7320706204758299E-6</v>
      </c>
      <c r="L16" s="22">
        <v>2.77571832553722E-2</v>
      </c>
      <c r="M16" s="23">
        <v>5.59351713754943E-5</v>
      </c>
      <c r="N16" s="23">
        <v>2.6958848044175399E-5</v>
      </c>
      <c r="P16" s="1">
        <f t="shared" si="0"/>
        <v>1.0407112579159069E-4</v>
      </c>
      <c r="Q16" s="1">
        <f t="shared" si="1"/>
        <v>8.2894019419669699E-5</v>
      </c>
    </row>
    <row r="17" spans="1:17" x14ac:dyDescent="0.25">
      <c r="A17" s="4"/>
      <c r="B17" s="4"/>
      <c r="C17" t="s">
        <v>20</v>
      </c>
      <c r="D17" s="22">
        <v>1.39340221321636E-2</v>
      </c>
      <c r="E17" s="23">
        <v>-1.3706218638671099E-5</v>
      </c>
      <c r="F17" s="22">
        <v>1.3898323391868099E-2</v>
      </c>
      <c r="G17" s="23">
        <v>4.0981578584531501E-7</v>
      </c>
      <c r="H17" s="23">
        <v>4.8995143148290003E-5</v>
      </c>
      <c r="I17" s="22"/>
      <c r="J17" s="22">
        <v>1.0184235204576101E-2</v>
      </c>
      <c r="K17" s="23">
        <v>2.4388748002601001E-7</v>
      </c>
      <c r="L17" s="22">
        <v>1.0110380042215299E-2</v>
      </c>
      <c r="M17" s="23">
        <v>4.5500174543015303E-5</v>
      </c>
      <c r="N17" s="23">
        <v>2.8111100337802902E-5</v>
      </c>
      <c r="P17" s="1">
        <f t="shared" si="0"/>
        <v>4.9404958934135321E-5</v>
      </c>
      <c r="Q17" s="1">
        <f t="shared" si="1"/>
        <v>7.3611274880818205E-5</v>
      </c>
    </row>
    <row r="18" spans="1:17" x14ac:dyDescent="0.25">
      <c r="A18" s="4"/>
      <c r="B18" s="4"/>
      <c r="C18" t="s">
        <v>21</v>
      </c>
      <c r="D18" s="22">
        <v>45.051553886502496</v>
      </c>
      <c r="E18" s="22">
        <v>-1.8156119197121401E-2</v>
      </c>
      <c r="F18" s="22">
        <v>44.916494817490801</v>
      </c>
      <c r="G18" s="22">
        <v>1.7646347565276499E-2</v>
      </c>
      <c r="H18" s="22">
        <v>0.13556884064362901</v>
      </c>
      <c r="I18" s="22"/>
      <c r="J18" s="22">
        <v>32.869089151845998</v>
      </c>
      <c r="K18" s="22">
        <v>2.85200860758254E-4</v>
      </c>
      <c r="L18" s="22">
        <v>32.675776400272497</v>
      </c>
      <c r="M18" s="22">
        <v>3.4244995732460599E-2</v>
      </c>
      <c r="N18" s="22">
        <v>0.15878255498034799</v>
      </c>
      <c r="P18" s="1">
        <f t="shared" si="0"/>
        <v>0.15321518820890551</v>
      </c>
      <c r="Q18" s="1">
        <f t="shared" si="1"/>
        <v>0.19302755071280858</v>
      </c>
    </row>
    <row r="19" spans="1:17" x14ac:dyDescent="0.25">
      <c r="A19" s="4"/>
      <c r="B19" s="4"/>
      <c r="C19" t="s">
        <v>22</v>
      </c>
      <c r="D19" s="22">
        <v>2.0296506655300101E-2</v>
      </c>
      <c r="E19" s="23">
        <v>-4.4311195952593901E-6</v>
      </c>
      <c r="F19" s="22">
        <v>2.02701314902788E-2</v>
      </c>
      <c r="G19" s="23">
        <v>1.49526081884803E-6</v>
      </c>
      <c r="H19" s="23">
        <v>2.9311023797656199E-5</v>
      </c>
      <c r="I19" s="22"/>
      <c r="J19" s="22">
        <v>1.48045608971631E-2</v>
      </c>
      <c r="K19" s="23">
        <v>1.6225142348880399E-7</v>
      </c>
      <c r="L19" s="22">
        <v>1.47456946712056E-2</v>
      </c>
      <c r="M19" s="23">
        <v>1.3237235206467799E-5</v>
      </c>
      <c r="N19" s="23">
        <v>4.5466739327562497E-5</v>
      </c>
      <c r="P19" s="1">
        <f t="shared" si="0"/>
        <v>3.080628461650423E-5</v>
      </c>
      <c r="Q19" s="1">
        <f t="shared" si="1"/>
        <v>5.8703974534030293E-5</v>
      </c>
    </row>
    <row r="20" spans="1:17" x14ac:dyDescent="0.25">
      <c r="A20" s="4"/>
      <c r="B20" s="4"/>
      <c r="C20" t="s">
        <v>23</v>
      </c>
      <c r="D20" s="22">
        <v>2.0082986290332499E-3</v>
      </c>
      <c r="E20" s="23">
        <v>-1.21745305409776E-6</v>
      </c>
      <c r="F20" s="22">
        <v>2.00195005915505E-3</v>
      </c>
      <c r="G20" s="23">
        <v>7.1634969124678802E-8</v>
      </c>
      <c r="H20" s="23">
        <v>7.4943879631785599E-6</v>
      </c>
      <c r="I20" s="22"/>
      <c r="J20" s="22">
        <v>1.46594153810789E-3</v>
      </c>
      <c r="K20" s="23">
        <v>1.32883468390128E-8</v>
      </c>
      <c r="L20" s="22">
        <v>1.45640245721985E-3</v>
      </c>
      <c r="M20" s="23">
        <v>1.4841879283220601E-6</v>
      </c>
      <c r="N20" s="23">
        <v>8.0416046128790597E-6</v>
      </c>
      <c r="P20" s="1">
        <f t="shared" si="0"/>
        <v>7.5660229323032385E-6</v>
      </c>
      <c r="Q20" s="1">
        <f t="shared" si="1"/>
        <v>9.5257925412011198E-6</v>
      </c>
    </row>
    <row r="21" spans="1:17" x14ac:dyDescent="0.25">
      <c r="A21" s="4"/>
      <c r="B21" s="4"/>
      <c r="C21" t="s">
        <v>24</v>
      </c>
      <c r="D21" s="22">
        <v>3.7091232490932702E-4</v>
      </c>
      <c r="E21" s="23">
        <v>-2.1826050498645499E-7</v>
      </c>
      <c r="F21" s="22">
        <v>3.6946328158503198E-4</v>
      </c>
      <c r="G21" s="23">
        <v>5.3217774175651798E-8</v>
      </c>
      <c r="H21" s="23">
        <v>1.6140860551054599E-6</v>
      </c>
      <c r="I21" s="22"/>
      <c r="J21" s="22">
        <v>2.7533985353174402E-4</v>
      </c>
      <c r="K21" s="23">
        <v>2.32998524068193E-8</v>
      </c>
      <c r="L21" s="22">
        <v>2.6886915829841098E-4</v>
      </c>
      <c r="M21" s="23">
        <v>1.3667798061861101E-6</v>
      </c>
      <c r="N21" s="23">
        <v>5.0806155747398596E-6</v>
      </c>
      <c r="P21" s="1">
        <f t="shared" si="0"/>
        <v>1.6673038292811117E-6</v>
      </c>
      <c r="Q21" s="1">
        <f t="shared" si="1"/>
        <v>6.4473953809259697E-6</v>
      </c>
    </row>
    <row r="22" spans="1:17" x14ac:dyDescent="0.25">
      <c r="A22" s="4"/>
      <c r="B22" s="4"/>
      <c r="C22" t="s">
        <v>25</v>
      </c>
      <c r="D22" s="22">
        <v>1.4449066611401801E-3</v>
      </c>
      <c r="E22" s="23">
        <v>-1.63728410522214E-5</v>
      </c>
      <c r="F22" s="22">
        <v>1.4224202431968201E-3</v>
      </c>
      <c r="G22" s="23">
        <v>-1.66517899188179E-6</v>
      </c>
      <c r="H22" s="23">
        <v>4.0524437987458801E-5</v>
      </c>
      <c r="I22" s="22"/>
      <c r="J22" s="22">
        <v>1.0573414304416899E-3</v>
      </c>
      <c r="K22" s="23">
        <v>2.2782159536255599E-6</v>
      </c>
      <c r="L22" s="22">
        <v>1.0347991882437601E-3</v>
      </c>
      <c r="M22" s="23">
        <v>1.048752310972E-5</v>
      </c>
      <c r="N22" s="23">
        <v>9.7765031345842199E-6</v>
      </c>
      <c r="P22" s="1">
        <f t="shared" si="0"/>
        <v>3.8859258995577014E-5</v>
      </c>
      <c r="Q22" s="1">
        <f t="shared" si="1"/>
        <v>2.026402624430422E-5</v>
      </c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17" x14ac:dyDescent="0.25">
      <c r="A24" s="4"/>
      <c r="B24" s="4"/>
      <c r="C24" s="24" t="s">
        <v>26</v>
      </c>
      <c r="D24" s="24" t="s">
        <v>27</v>
      </c>
      <c r="E24" s="24" t="s">
        <v>28</v>
      </c>
      <c r="F24" s="24" t="s">
        <v>29</v>
      </c>
      <c r="G24" s="24" t="s">
        <v>27</v>
      </c>
      <c r="H24" s="24" t="s">
        <v>28</v>
      </c>
      <c r="I24" s="24" t="s">
        <v>29</v>
      </c>
      <c r="J24" s="20"/>
    </row>
    <row r="25" spans="1:17" x14ac:dyDescent="0.25">
      <c r="A25" s="4" t="s">
        <v>30</v>
      </c>
      <c r="B25" s="4"/>
      <c r="C25" s="25"/>
      <c r="D25" s="24" t="s">
        <v>31</v>
      </c>
      <c r="E25" s="24" t="s">
        <v>32</v>
      </c>
      <c r="F25" s="24" t="s">
        <v>33</v>
      </c>
      <c r="G25" s="24" t="s">
        <v>31</v>
      </c>
      <c r="H25" s="24" t="s">
        <v>32</v>
      </c>
      <c r="I25" s="24" t="s">
        <v>33</v>
      </c>
      <c r="J25" s="20"/>
    </row>
    <row r="26" spans="1:17" x14ac:dyDescent="0.25">
      <c r="A26" s="4"/>
      <c r="B26" s="4"/>
      <c r="C26" s="25"/>
      <c r="D26" s="24" t="s">
        <v>34</v>
      </c>
      <c r="E26" s="24" t="s">
        <v>34</v>
      </c>
      <c r="F26" s="24" t="s">
        <v>34</v>
      </c>
      <c r="G26" s="24" t="s">
        <v>35</v>
      </c>
      <c r="H26" s="24" t="s">
        <v>35</v>
      </c>
      <c r="I26" s="24" t="s">
        <v>35</v>
      </c>
      <c r="J26" s="20"/>
    </row>
    <row r="27" spans="1:17" x14ac:dyDescent="0.25">
      <c r="A27" s="4"/>
      <c r="B27" s="4"/>
      <c r="C27" s="25" t="s">
        <v>36</v>
      </c>
      <c r="D27" s="25">
        <v>1.8599999999999999E-4</v>
      </c>
      <c r="E27" s="25">
        <v>1.8100000000000001E-4</v>
      </c>
      <c r="F27" s="25">
        <v>2.7500000000000002E-4</v>
      </c>
      <c r="G27" s="25">
        <v>8.0000000000000004E-4</v>
      </c>
      <c r="H27" s="25">
        <v>9.1699999999999995E-4</v>
      </c>
      <c r="I27" s="25">
        <v>2.48E-3</v>
      </c>
      <c r="J27" s="20"/>
    </row>
    <row r="28" spans="1:17" x14ac:dyDescent="0.25">
      <c r="A28" s="4"/>
      <c r="B28" s="4"/>
      <c r="C28" s="25" t="s">
        <v>37</v>
      </c>
      <c r="D28" s="25">
        <v>2.1000000000000001E-2</v>
      </c>
      <c r="E28" s="25">
        <v>2.0199999999999999E-2</v>
      </c>
      <c r="F28" s="25">
        <v>4.1000000000000002E-2</v>
      </c>
      <c r="G28" s="25">
        <v>1.4999999999999999E-2</v>
      </c>
      <c r="H28" s="25">
        <v>1.35E-2</v>
      </c>
      <c r="I28" s="25">
        <v>2.3900000000000001E-2</v>
      </c>
      <c r="J28" s="20"/>
    </row>
    <row r="29" spans="1:17" x14ac:dyDescent="0.25">
      <c r="A29" s="4"/>
      <c r="B29" s="4"/>
      <c r="C29" s="25" t="s">
        <v>38</v>
      </c>
      <c r="D29" s="25">
        <v>131</v>
      </c>
      <c r="E29" s="25">
        <v>308</v>
      </c>
      <c r="F29" s="25">
        <v>308</v>
      </c>
      <c r="G29" s="25">
        <v>98.5</v>
      </c>
      <c r="H29" s="25">
        <v>245</v>
      </c>
      <c r="I29" s="25">
        <v>245</v>
      </c>
      <c r="J29" s="20"/>
    </row>
    <row r="30" spans="1:17" x14ac:dyDescent="0.25">
      <c r="A30" s="4"/>
      <c r="B30" s="4"/>
      <c r="C30" s="25"/>
      <c r="D30" s="25"/>
      <c r="E30" s="25"/>
      <c r="F30" s="25"/>
      <c r="G30" s="25"/>
      <c r="H30" s="25"/>
      <c r="I30" s="25"/>
      <c r="J30" s="20"/>
    </row>
    <row r="31" spans="1:17" x14ac:dyDescent="0.25">
      <c r="A31" s="4" t="s">
        <v>39</v>
      </c>
      <c r="B31" s="4"/>
      <c r="C31" s="25"/>
      <c r="D31" s="72" t="s">
        <v>40</v>
      </c>
      <c r="E31" s="72"/>
      <c r="F31" s="72"/>
      <c r="G31" s="72"/>
      <c r="H31" s="25"/>
      <c r="I31" s="25"/>
      <c r="J31" s="20"/>
    </row>
    <row r="32" spans="1:17" x14ac:dyDescent="0.25">
      <c r="A32" s="4"/>
      <c r="B32" s="4"/>
      <c r="C32" s="25"/>
      <c r="D32" s="24" t="s">
        <v>41</v>
      </c>
      <c r="E32" s="24" t="s">
        <v>31</v>
      </c>
      <c r="F32" s="24" t="s">
        <v>32</v>
      </c>
      <c r="G32" s="24" t="s">
        <v>33</v>
      </c>
      <c r="H32" s="25"/>
      <c r="I32" s="25"/>
      <c r="J32" s="20"/>
    </row>
    <row r="33" spans="1:34" x14ac:dyDescent="0.25">
      <c r="A33" s="4"/>
      <c r="B33" s="4"/>
      <c r="C33" s="25" t="s">
        <v>42</v>
      </c>
      <c r="D33" s="25">
        <v>400</v>
      </c>
      <c r="E33" s="25">
        <v>250</v>
      </c>
      <c r="F33" s="25">
        <v>400</v>
      </c>
      <c r="G33" s="25">
        <v>500</v>
      </c>
      <c r="H33" s="25"/>
      <c r="I33" s="25"/>
      <c r="J33" s="20"/>
    </row>
    <row r="34" spans="1:34" x14ac:dyDescent="0.25">
      <c r="A34" s="4"/>
      <c r="B34" s="4"/>
      <c r="C34" s="25" t="s">
        <v>43</v>
      </c>
      <c r="D34" s="25">
        <v>400</v>
      </c>
      <c r="E34" s="25">
        <v>550</v>
      </c>
      <c r="F34" s="25">
        <v>300</v>
      </c>
      <c r="G34" s="25">
        <v>300</v>
      </c>
      <c r="H34" s="25"/>
      <c r="I34" s="25"/>
      <c r="J34" s="20"/>
    </row>
    <row r="35" spans="1:34" x14ac:dyDescent="0.25">
      <c r="A35" s="4"/>
      <c r="B35" s="4"/>
      <c r="C35" s="25" t="s">
        <v>44</v>
      </c>
      <c r="D35" s="25">
        <v>200</v>
      </c>
      <c r="E35" s="25">
        <v>200</v>
      </c>
      <c r="F35" s="25">
        <v>300</v>
      </c>
      <c r="G35" s="25">
        <v>200</v>
      </c>
      <c r="H35" s="25"/>
      <c r="I35" s="25"/>
      <c r="J35" s="20"/>
    </row>
    <row r="36" spans="1:34" x14ac:dyDescent="0.25">
      <c r="A36" s="4"/>
      <c r="B36" s="4"/>
      <c r="C36" s="25" t="s">
        <v>4</v>
      </c>
      <c r="D36" s="25">
        <f>SUM(D33:D35)</f>
        <v>1000</v>
      </c>
      <c r="E36" s="25">
        <f>SUM(E33:E35)</f>
        <v>1000</v>
      </c>
      <c r="F36" s="25">
        <f>SUM(F33:F35)</f>
        <v>1000</v>
      </c>
      <c r="G36" s="25">
        <f>SUM(G33:G35)</f>
        <v>1000</v>
      </c>
      <c r="H36" s="25"/>
      <c r="I36" s="25"/>
      <c r="J36" s="20"/>
    </row>
    <row r="37" spans="1:34" x14ac:dyDescent="0.25">
      <c r="A37" s="4"/>
      <c r="B37" s="4"/>
      <c r="C37" s="25"/>
      <c r="D37" s="25"/>
      <c r="E37" s="25"/>
      <c r="F37" s="25"/>
      <c r="G37" s="25"/>
      <c r="H37" s="25"/>
      <c r="I37" s="25"/>
      <c r="J37" s="20"/>
    </row>
    <row r="38" spans="1:34" x14ac:dyDescent="0.25">
      <c r="A38" s="6" t="s">
        <v>45</v>
      </c>
      <c r="B38" s="4"/>
      <c r="C38" s="4"/>
      <c r="D38" s="4" t="str">
        <f>D5</f>
        <v>Total AL</v>
      </c>
      <c r="E38" s="4" t="str">
        <f t="shared" ref="E38:Q38" si="2">E5</f>
        <v>End of Life</v>
      </c>
      <c r="F38" s="4" t="str">
        <f t="shared" si="2"/>
        <v>Operation</v>
      </c>
      <c r="G38" s="4" t="str">
        <f t="shared" si="2"/>
        <v>Production</v>
      </c>
      <c r="H38" s="4" t="str">
        <f t="shared" si="2"/>
        <v>Raw materials</v>
      </c>
      <c r="I38" s="4"/>
      <c r="J38" s="4" t="str">
        <f t="shared" si="2"/>
        <v>Total CFRP</v>
      </c>
      <c r="K38" s="4" t="str">
        <f t="shared" si="2"/>
        <v>End of Life</v>
      </c>
      <c r="L38" s="4" t="str">
        <f t="shared" si="2"/>
        <v>Operation</v>
      </c>
      <c r="M38" s="4" t="str">
        <f t="shared" si="2"/>
        <v>Production</v>
      </c>
      <c r="N38" s="4" t="str">
        <f t="shared" si="2"/>
        <v>Raw materials</v>
      </c>
      <c r="O38" s="4">
        <f t="shared" si="2"/>
        <v>0</v>
      </c>
      <c r="P38" s="4" t="str">
        <f t="shared" si="2"/>
        <v>AL</v>
      </c>
      <c r="Q38" s="4" t="str">
        <f t="shared" si="2"/>
        <v>CFRP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x14ac:dyDescent="0.25">
      <c r="A39" s="4"/>
      <c r="B39" s="4"/>
      <c r="C39" s="4" t="s">
        <v>46</v>
      </c>
      <c r="D39" s="7">
        <f>D$6/$E$27+D$7/$E$27+D$10/$E$27+D$11/$E$27+D$14/$E$27+D$16/$E$27+D$20/$E$27+D$21/$E$27+D$22/$E$27</f>
        <v>2057.5069401694313</v>
      </c>
      <c r="E39" s="7">
        <f t="shared" ref="E39:Q39" si="3">E$6/$E$27+E$7/$E$27+E$10/$E$27+E$11/$E$27+E$14/$E$27+E$16/$E$27+E$20/$E$27+E$21/$E$27+E$22/$E$27</f>
        <v>-2.6854899189889014</v>
      </c>
      <c r="F39" s="7">
        <f t="shared" si="3"/>
        <v>2041.0773769911061</v>
      </c>
      <c r="G39" s="7">
        <f t="shared" si="3"/>
        <v>0.46883666413869507</v>
      </c>
      <c r="H39" s="7">
        <f t="shared" si="3"/>
        <v>18.646216433172945</v>
      </c>
      <c r="I39" s="7"/>
      <c r="J39" s="7">
        <f t="shared" si="3"/>
        <v>1510.4788103321985</v>
      </c>
      <c r="K39" s="7">
        <f t="shared" si="3"/>
        <v>0.14636499549456555</v>
      </c>
      <c r="L39" s="7">
        <f t="shared" si="3"/>
        <v>1485.0002321830896</v>
      </c>
      <c r="M39" s="7">
        <f t="shared" si="3"/>
        <v>9.0230158124917335</v>
      </c>
      <c r="N39" s="7">
        <f t="shared" si="3"/>
        <v>16.309197341122836</v>
      </c>
      <c r="O39" s="7">
        <f t="shared" si="3"/>
        <v>0</v>
      </c>
      <c r="P39" s="7">
        <f t="shared" si="3"/>
        <v>19.115053097311645</v>
      </c>
      <c r="Q39" s="7">
        <f t="shared" si="3"/>
        <v>25.332213153614571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5">
      <c r="A40" s="4"/>
      <c r="B40" s="4"/>
      <c r="C40" s="4" t="s">
        <v>47</v>
      </c>
      <c r="D40" s="7">
        <f>D$8/$E$28+D$12/$E$28+D$13/$D$2/$E$28+D$17/$E$28+D$18/$E$28+D$19/$E$28</f>
        <v>5132.9465344144646</v>
      </c>
      <c r="E40" s="7">
        <f t="shared" ref="E40:Q40" si="4">E$8/$E$28+E$12/$E$28+E$13/$D$2/$E$28+E$17/$E$28+E$18/$E$28+E$19/$E$28</f>
        <v>-4.6471897523057031</v>
      </c>
      <c r="F40" s="7">
        <f t="shared" si="4"/>
        <v>5101.1974029975136</v>
      </c>
      <c r="G40" s="7">
        <f t="shared" si="4"/>
        <v>1.6889642767545141</v>
      </c>
      <c r="H40" s="7">
        <f t="shared" si="4"/>
        <v>34.707356892506873</v>
      </c>
      <c r="I40" s="7"/>
      <c r="J40" s="7">
        <f t="shared" si="4"/>
        <v>3759.1508529797925</v>
      </c>
      <c r="K40" s="7">
        <f t="shared" si="4"/>
        <v>0.61058017949868637</v>
      </c>
      <c r="L40" s="7">
        <f t="shared" si="4"/>
        <v>3711.2837107468022</v>
      </c>
      <c r="M40" s="7">
        <f t="shared" si="4"/>
        <v>15.379078762804829</v>
      </c>
      <c r="N40" s="7">
        <f t="shared" si="4"/>
        <v>31.877483290690972</v>
      </c>
      <c r="O40" s="7">
        <f t="shared" si="4"/>
        <v>0</v>
      </c>
      <c r="P40" s="7">
        <f t="shared" si="4"/>
        <v>36.396321169261384</v>
      </c>
      <c r="Q40" s="7">
        <f t="shared" si="4"/>
        <v>47.256562053495792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5">
      <c r="A41" s="4"/>
      <c r="B41" s="4"/>
      <c r="C41" s="4" t="s">
        <v>48</v>
      </c>
      <c r="D41" s="4">
        <f>D$9/$D$1/$E$29+D$15/$E$29</f>
        <v>7680.9767654762345</v>
      </c>
      <c r="E41" s="4">
        <f t="shared" ref="E41:Q41" si="5">E$9/$D$1/$E$29+E$15/$E$29</f>
        <v>-12.563310846718633</v>
      </c>
      <c r="F41" s="4">
        <f t="shared" si="5"/>
        <v>7618.951999738204</v>
      </c>
      <c r="G41" s="4">
        <f t="shared" si="5"/>
        <v>9.864152372987423</v>
      </c>
      <c r="H41" s="4">
        <f t="shared" si="5"/>
        <v>64.72392421176535</v>
      </c>
      <c r="I41" s="4"/>
      <c r="J41" s="4">
        <f t="shared" si="5"/>
        <v>5664.731982138228</v>
      </c>
      <c r="K41" s="4">
        <f t="shared" si="5"/>
        <v>0.11847763822242156</v>
      </c>
      <c r="L41" s="4">
        <f t="shared" si="5"/>
        <v>5543.5335069424227</v>
      </c>
      <c r="M41" s="4">
        <f t="shared" si="5"/>
        <v>40.017274101503993</v>
      </c>
      <c r="N41" s="4">
        <f t="shared" si="5"/>
        <v>81.062723456097146</v>
      </c>
      <c r="O41" s="4">
        <f t="shared" si="5"/>
        <v>0</v>
      </c>
      <c r="P41" s="4">
        <f t="shared" si="5"/>
        <v>74.58807658475277</v>
      </c>
      <c r="Q41" s="4">
        <f t="shared" si="5"/>
        <v>121.07999755760115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x14ac:dyDescent="0.25">
      <c r="A44" s="4"/>
      <c r="B44" s="4"/>
      <c r="C44" s="5" t="s">
        <v>42</v>
      </c>
      <c r="D44" s="7">
        <f>D39*$F$33</f>
        <v>823002.77606777253</v>
      </c>
      <c r="E44" s="7">
        <f t="shared" ref="E44:Q44" si="6">E39*$F$33</f>
        <v>-1074.1959675955607</v>
      </c>
      <c r="F44" s="7">
        <f t="shared" si="6"/>
        <v>816430.95079644246</v>
      </c>
      <c r="G44" s="7">
        <f t="shared" si="6"/>
        <v>187.53466565547802</v>
      </c>
      <c r="H44" s="7">
        <f t="shared" si="6"/>
        <v>7458.4865732691778</v>
      </c>
      <c r="I44" s="7"/>
      <c r="J44" s="7">
        <f t="shared" si="6"/>
        <v>604191.52413287933</v>
      </c>
      <c r="K44" s="7">
        <f t="shared" si="6"/>
        <v>58.545998197826222</v>
      </c>
      <c r="L44" s="7">
        <f t="shared" si="6"/>
        <v>594000.09287323582</v>
      </c>
      <c r="M44" s="7">
        <f t="shared" si="6"/>
        <v>3609.2063249966932</v>
      </c>
      <c r="N44" s="7">
        <f t="shared" si="6"/>
        <v>6523.6789364491342</v>
      </c>
      <c r="O44" s="7">
        <f t="shared" si="6"/>
        <v>0</v>
      </c>
      <c r="P44" s="7">
        <f t="shared" si="6"/>
        <v>7646.0212389246581</v>
      </c>
      <c r="Q44" s="7">
        <f t="shared" si="6"/>
        <v>10132.885261445828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5">
      <c r="A45" s="4"/>
      <c r="B45" s="4"/>
      <c r="C45" s="5" t="s">
        <v>43</v>
      </c>
      <c r="D45" s="7">
        <f>D40*$F$34</f>
        <v>1539883.9603243393</v>
      </c>
      <c r="E45" s="7">
        <f t="shared" ref="E45:Q45" si="7">E40*$F$34</f>
        <v>-1394.156925691711</v>
      </c>
      <c r="F45" s="7">
        <f t="shared" si="7"/>
        <v>1530359.2208992541</v>
      </c>
      <c r="G45" s="7">
        <f t="shared" si="7"/>
        <v>506.68928302635425</v>
      </c>
      <c r="H45" s="7">
        <f t="shared" si="7"/>
        <v>10412.207067752062</v>
      </c>
      <c r="I45" s="7"/>
      <c r="J45" s="7">
        <f t="shared" si="7"/>
        <v>1127745.2558939378</v>
      </c>
      <c r="K45" s="7">
        <f t="shared" si="7"/>
        <v>183.17405384960591</v>
      </c>
      <c r="L45" s="7">
        <f t="shared" si="7"/>
        <v>1113385.1132240407</v>
      </c>
      <c r="M45" s="7">
        <f t="shared" si="7"/>
        <v>4613.7236288414488</v>
      </c>
      <c r="N45" s="7">
        <f t="shared" si="7"/>
        <v>9563.2449872072921</v>
      </c>
      <c r="O45" s="7">
        <f t="shared" si="7"/>
        <v>0</v>
      </c>
      <c r="P45" s="7">
        <f t="shared" si="7"/>
        <v>10918.896350778416</v>
      </c>
      <c r="Q45" s="7">
        <f t="shared" si="7"/>
        <v>14176.968616048738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5">
      <c r="A46" s="4"/>
      <c r="B46" s="4"/>
      <c r="C46" s="5" t="s">
        <v>44</v>
      </c>
      <c r="D46" s="7">
        <f>D41*$F$35</f>
        <v>2304293.0296428702</v>
      </c>
      <c r="E46" s="7">
        <f t="shared" ref="E46:Q46" si="8">E41*$F$35</f>
        <v>-3768.9932540155896</v>
      </c>
      <c r="F46" s="7">
        <f t="shared" si="8"/>
        <v>2285685.5999214612</v>
      </c>
      <c r="G46" s="7">
        <f t="shared" si="8"/>
        <v>2959.245711896227</v>
      </c>
      <c r="H46" s="7">
        <f t="shared" si="8"/>
        <v>19417.177263529604</v>
      </c>
      <c r="I46" s="7"/>
      <c r="J46" s="7">
        <f t="shared" si="8"/>
        <v>1699419.5946414685</v>
      </c>
      <c r="K46" s="7">
        <f t="shared" si="8"/>
        <v>35.543291466726473</v>
      </c>
      <c r="L46" s="7">
        <f t="shared" si="8"/>
        <v>1663060.0520827267</v>
      </c>
      <c r="M46" s="7">
        <f t="shared" si="8"/>
        <v>12005.182230451199</v>
      </c>
      <c r="N46" s="7">
        <f t="shared" si="8"/>
        <v>24318.817036829143</v>
      </c>
      <c r="O46" s="7">
        <f t="shared" si="8"/>
        <v>0</v>
      </c>
      <c r="P46" s="7">
        <f t="shared" si="8"/>
        <v>22376.42297542583</v>
      </c>
      <c r="Q46" s="7">
        <f t="shared" si="8"/>
        <v>36323.999267280342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5">
      <c r="A47" s="4"/>
      <c r="B47" s="4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5">
      <c r="D48" t="str">
        <f>D38</f>
        <v>Total AL</v>
      </c>
      <c r="E48" t="str">
        <f>J38</f>
        <v>Total CFRP</v>
      </c>
    </row>
    <row r="49" spans="3:5" x14ac:dyDescent="0.25">
      <c r="C49" t="str">
        <f>C44</f>
        <v>Ecosystems</v>
      </c>
      <c r="D49" s="1">
        <f>D44</f>
        <v>823002.77606777253</v>
      </c>
      <c r="E49" s="1">
        <f>J44</f>
        <v>604191.52413287933</v>
      </c>
    </row>
    <row r="50" spans="3:5" x14ac:dyDescent="0.25">
      <c r="C50" t="str">
        <f t="shared" ref="C50:D51" si="9">C45</f>
        <v>Human health</v>
      </c>
      <c r="D50" s="1">
        <f t="shared" si="9"/>
        <v>1539883.9603243393</v>
      </c>
      <c r="E50" s="1">
        <f t="shared" ref="E50" si="10">J45</f>
        <v>1127745.2558939378</v>
      </c>
    </row>
    <row r="51" spans="3:5" x14ac:dyDescent="0.25">
      <c r="C51" t="str">
        <f t="shared" si="9"/>
        <v>Resources</v>
      </c>
      <c r="D51" s="1">
        <f t="shared" si="9"/>
        <v>2304293.0296428702</v>
      </c>
      <c r="E51" s="1">
        <f>J46</f>
        <v>1699419.5946414685</v>
      </c>
    </row>
  </sheetData>
  <mergeCells count="1">
    <mergeCell ref="D31:G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selection activeCell="L48" sqref="L48"/>
    </sheetView>
  </sheetViews>
  <sheetFormatPr defaultRowHeight="15" x14ac:dyDescent="0.25"/>
  <cols>
    <col min="1" max="1" width="13.7109375" bestFit="1" customWidth="1"/>
    <col min="2" max="2" width="4.28515625" customWidth="1"/>
    <col min="3" max="3" width="38.28515625" bestFit="1" customWidth="1"/>
    <col min="4" max="4" width="20.42578125" bestFit="1" customWidth="1"/>
    <col min="5" max="5" width="19.140625" bestFit="1" customWidth="1"/>
    <col min="6" max="6" width="28.42578125" bestFit="1" customWidth="1"/>
    <col min="7" max="7" width="18.42578125" bestFit="1" customWidth="1"/>
    <col min="8" max="8" width="19.42578125" bestFit="1" customWidth="1"/>
    <col min="9" max="9" width="40.140625" bestFit="1" customWidth="1"/>
    <col min="10" max="11" width="12" bestFit="1" customWidth="1"/>
    <col min="12" max="12" width="20.7109375" customWidth="1"/>
    <col min="13" max="13" width="19.7109375" customWidth="1"/>
    <col min="14" max="14" width="18.7109375" customWidth="1"/>
    <col min="16" max="16" width="13.42578125" bestFit="1" customWidth="1"/>
    <col min="17" max="17" width="10.5703125" bestFit="1" customWidth="1"/>
    <col min="20" max="20" width="10.5703125" bestFit="1" customWidth="1"/>
    <col min="21" max="22" width="10.140625" bestFit="1" customWidth="1"/>
    <col min="23" max="23" width="14.42578125" bestFit="1" customWidth="1"/>
    <col min="24" max="24" width="10.5703125" bestFit="1" customWidth="1"/>
    <col min="26" max="26" width="15" bestFit="1" customWidth="1"/>
    <col min="27" max="27" width="10.5703125" bestFit="1" customWidth="1"/>
  </cols>
  <sheetData>
    <row r="1" spans="1:17" x14ac:dyDescent="0.25">
      <c r="A1" s="4"/>
      <c r="B1" s="4"/>
      <c r="C1" s="4" t="s">
        <v>6</v>
      </c>
      <c r="D1" s="4">
        <v>100</v>
      </c>
      <c r="E1" s="4"/>
      <c r="F1" s="4"/>
      <c r="G1" s="4"/>
      <c r="H1" s="4"/>
      <c r="I1" s="4"/>
    </row>
    <row r="2" spans="1:17" x14ac:dyDescent="0.25">
      <c r="A2" s="4" t="s">
        <v>0</v>
      </c>
      <c r="B2" s="4"/>
      <c r="C2" s="5" t="s">
        <v>7</v>
      </c>
      <c r="D2" s="4">
        <f>1000000</f>
        <v>1000000</v>
      </c>
      <c r="E2" s="4"/>
      <c r="F2" s="4"/>
      <c r="G2" s="4"/>
      <c r="H2" s="4"/>
      <c r="I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x14ac:dyDescent="0.25">
      <c r="A4" s="4"/>
      <c r="B4" s="4"/>
      <c r="C4" s="6" t="s">
        <v>8</v>
      </c>
      <c r="D4" s="4"/>
      <c r="E4" s="4"/>
      <c r="F4" s="6"/>
      <c r="G4" s="4"/>
      <c r="H4" s="4"/>
      <c r="I4" s="4"/>
      <c r="L4" s="2"/>
    </row>
    <row r="5" spans="1:17" x14ac:dyDescent="0.25">
      <c r="A5" s="4"/>
      <c r="B5" s="4"/>
      <c r="D5" t="s">
        <v>4</v>
      </c>
      <c r="E5" t="s">
        <v>57</v>
      </c>
      <c r="F5" t="s">
        <v>105</v>
      </c>
      <c r="G5" t="s">
        <v>61</v>
      </c>
      <c r="H5" t="s">
        <v>106</v>
      </c>
      <c r="I5" t="s">
        <v>107</v>
      </c>
      <c r="J5" t="s">
        <v>108</v>
      </c>
      <c r="K5" t="s">
        <v>109</v>
      </c>
      <c r="L5" t="s">
        <v>110</v>
      </c>
      <c r="M5" t="s">
        <v>111</v>
      </c>
      <c r="N5" t="s">
        <v>111</v>
      </c>
      <c r="O5" t="s">
        <v>75</v>
      </c>
      <c r="P5" t="s">
        <v>112</v>
      </c>
      <c r="Q5" t="s">
        <v>113</v>
      </c>
    </row>
    <row r="6" spans="1:17" x14ac:dyDescent="0.25">
      <c r="A6" s="4"/>
      <c r="B6" s="4"/>
      <c r="C6" t="s">
        <v>88</v>
      </c>
      <c r="D6">
        <v>1.0326139640292799E-3</v>
      </c>
      <c r="E6">
        <v>9.6446470455256999E-4</v>
      </c>
      <c r="F6">
        <v>0</v>
      </c>
      <c r="G6" s="1">
        <v>3.1430520086E-9</v>
      </c>
      <c r="H6">
        <v>0</v>
      </c>
      <c r="I6">
        <v>0</v>
      </c>
      <c r="J6">
        <v>0</v>
      </c>
      <c r="K6" s="1">
        <v>3.8678522677564001E-7</v>
      </c>
      <c r="L6" s="1">
        <v>8.4242934286896001E-5</v>
      </c>
      <c r="M6" s="1">
        <v>-1.854529847766E-5</v>
      </c>
      <c r="N6" s="1">
        <v>-1.00144611779364E-5</v>
      </c>
      <c r="O6" s="1">
        <v>7.635819904E-6</v>
      </c>
      <c r="P6" s="1">
        <v>4.3197479264016002E-6</v>
      </c>
      <c r="Q6" s="1">
        <v>1.2058873622692001E-7</v>
      </c>
    </row>
    <row r="7" spans="1:17" x14ac:dyDescent="0.25">
      <c r="A7" s="4"/>
      <c r="B7" s="4"/>
      <c r="C7" t="s">
        <v>89</v>
      </c>
      <c r="D7">
        <v>0.98425566146875598</v>
      </c>
      <c r="E7">
        <v>0.981457642266511</v>
      </c>
      <c r="F7">
        <v>0</v>
      </c>
      <c r="G7" s="1">
        <v>4.2519252313439099E-7</v>
      </c>
      <c r="H7">
        <v>0</v>
      </c>
      <c r="I7">
        <v>0</v>
      </c>
      <c r="J7">
        <v>0</v>
      </c>
      <c r="K7" s="1">
        <v>9.7264983016150301E-5</v>
      </c>
      <c r="L7">
        <v>2.75581311571235E-3</v>
      </c>
      <c r="M7">
        <v>-4.2266163182009999E-4</v>
      </c>
      <c r="N7">
        <v>-2.28237281182854E-4</v>
      </c>
      <c r="O7">
        <v>3.0942372739321301E-4</v>
      </c>
      <c r="P7">
        <v>2.7834077769824399E-4</v>
      </c>
      <c r="Q7" s="1">
        <v>7.6503189044361307E-6</v>
      </c>
    </row>
    <row r="8" spans="1:17" x14ac:dyDescent="0.25">
      <c r="A8" s="4"/>
      <c r="B8" s="4"/>
      <c r="C8" t="s">
        <v>90</v>
      </c>
      <c r="D8">
        <v>173.76985271468101</v>
      </c>
      <c r="E8">
        <v>173.276119616827</v>
      </c>
      <c r="F8">
        <v>0</v>
      </c>
      <c r="G8" s="1">
        <v>7.50697338616179E-5</v>
      </c>
      <c r="H8">
        <v>0</v>
      </c>
      <c r="I8">
        <v>0</v>
      </c>
      <c r="J8">
        <v>0</v>
      </c>
      <c r="K8">
        <v>1.7172291924861301E-2</v>
      </c>
      <c r="L8">
        <v>0.486308240141687</v>
      </c>
      <c r="M8">
        <v>-7.4637408737488004E-2</v>
      </c>
      <c r="N8">
        <v>-4.0304200718243498E-2</v>
      </c>
      <c r="O8">
        <v>5.46320930470581E-2</v>
      </c>
      <c r="P8">
        <v>4.9136906551364601E-2</v>
      </c>
      <c r="Q8">
        <v>1.35010591130162E-3</v>
      </c>
    </row>
    <row r="9" spans="1:17" x14ac:dyDescent="0.25">
      <c r="A9" s="4"/>
      <c r="B9" s="4"/>
      <c r="C9" t="s">
        <v>91</v>
      </c>
      <c r="D9">
        <v>701074250.47147799</v>
      </c>
      <c r="E9">
        <v>699871301.50364697</v>
      </c>
      <c r="F9">
        <v>0</v>
      </c>
      <c r="G9">
        <v>325.01923437051198</v>
      </c>
      <c r="H9">
        <v>0</v>
      </c>
      <c r="I9">
        <v>0</v>
      </c>
      <c r="J9">
        <v>0</v>
      </c>
      <c r="K9">
        <v>68748.086744349595</v>
      </c>
      <c r="L9">
        <v>1144900.7617287301</v>
      </c>
      <c r="M9">
        <v>-307852.80268204497</v>
      </c>
      <c r="N9">
        <v>-166240.513448304</v>
      </c>
      <c r="O9">
        <v>257157.05324253699</v>
      </c>
      <c r="P9">
        <v>201220.380853674</v>
      </c>
      <c r="Q9">
        <v>4690.9821578462497</v>
      </c>
    </row>
    <row r="10" spans="1:17" x14ac:dyDescent="0.25">
      <c r="A10" s="4"/>
      <c r="B10" s="4"/>
      <c r="C10" t="s">
        <v>92</v>
      </c>
      <c r="D10" s="1">
        <v>1.4566269733113901E-5</v>
      </c>
      <c r="E10" s="1">
        <v>1.42260858518593E-5</v>
      </c>
      <c r="F10">
        <v>0</v>
      </c>
      <c r="G10" s="1">
        <v>1.5844185081644299E-11</v>
      </c>
      <c r="H10">
        <v>0</v>
      </c>
      <c r="I10">
        <v>0</v>
      </c>
      <c r="J10">
        <v>0</v>
      </c>
      <c r="K10" s="1">
        <v>2.0140241867563902E-9</v>
      </c>
      <c r="L10" s="1">
        <v>2.08094846646338E-7</v>
      </c>
      <c r="M10" s="1">
        <v>-1.9167184271406401E-8</v>
      </c>
      <c r="N10" s="1">
        <v>-1.03502795065594E-8</v>
      </c>
      <c r="O10" s="1">
        <v>1.4128671157174099E-7</v>
      </c>
      <c r="P10" s="1">
        <v>1.72450504639622E-8</v>
      </c>
      <c r="Q10" s="1">
        <v>1.04486797869937E-9</v>
      </c>
    </row>
    <row r="11" spans="1:17" x14ac:dyDescent="0.25">
      <c r="A11" s="4"/>
      <c r="B11" s="4"/>
      <c r="C11" t="s">
        <v>93</v>
      </c>
      <c r="D11" s="1">
        <v>1.3727313699639599E-5</v>
      </c>
      <c r="E11" s="1">
        <v>1.33922746046421E-5</v>
      </c>
      <c r="F11">
        <v>0</v>
      </c>
      <c r="G11" s="1">
        <v>1.6617541514112001E-11</v>
      </c>
      <c r="H11">
        <v>0</v>
      </c>
      <c r="I11">
        <v>0</v>
      </c>
      <c r="J11">
        <v>0</v>
      </c>
      <c r="K11" s="1">
        <v>2.1211867208077399E-9</v>
      </c>
      <c r="L11" s="1">
        <v>2.8604966834412001E-7</v>
      </c>
      <c r="M11" s="1">
        <v>-1.83872948020456E-8</v>
      </c>
      <c r="N11" s="1">
        <v>-9.9291391931046295E-9</v>
      </c>
      <c r="O11" s="1">
        <v>5.1876002223284001E-8</v>
      </c>
      <c r="P11" s="1">
        <v>2.1908670684880098E-8</v>
      </c>
      <c r="Q11" s="1">
        <v>1.3833834780735301E-9</v>
      </c>
    </row>
    <row r="12" spans="1:17" x14ac:dyDescent="0.25">
      <c r="A12" s="4"/>
      <c r="B12" s="4"/>
      <c r="C12" t="s">
        <v>94</v>
      </c>
      <c r="D12">
        <v>1.00244871922637</v>
      </c>
      <c r="E12">
        <v>0.99040363367226103</v>
      </c>
      <c r="F12">
        <v>0</v>
      </c>
      <c r="G12" s="1">
        <v>6.98115603400249E-7</v>
      </c>
      <c r="H12">
        <v>0</v>
      </c>
      <c r="I12">
        <v>0</v>
      </c>
      <c r="J12">
        <v>0</v>
      </c>
      <c r="K12">
        <v>1.36857786451594E-4</v>
      </c>
      <c r="L12">
        <v>1.1164558373387701E-2</v>
      </c>
      <c r="M12">
        <v>-1.08677453063077E-3</v>
      </c>
      <c r="N12">
        <v>-5.8685824654061496E-4</v>
      </c>
      <c r="O12">
        <v>1.3119201719603299E-3</v>
      </c>
      <c r="P12">
        <v>1.0480508310746299E-3</v>
      </c>
      <c r="Q12" s="1">
        <v>5.6633052805686003E-5</v>
      </c>
    </row>
    <row r="13" spans="1:17" x14ac:dyDescent="0.25">
      <c r="A13" s="4"/>
      <c r="B13" s="4"/>
      <c r="C13" t="s">
        <v>95</v>
      </c>
      <c r="D13">
        <v>14482.682328209599</v>
      </c>
      <c r="E13">
        <v>14049.5540313203</v>
      </c>
      <c r="F13">
        <v>0</v>
      </c>
      <c r="G13">
        <v>0.16134790116304301</v>
      </c>
      <c r="H13">
        <v>0</v>
      </c>
      <c r="I13">
        <v>0</v>
      </c>
      <c r="J13">
        <v>0</v>
      </c>
      <c r="K13">
        <v>9.0424233043008808</v>
      </c>
      <c r="L13">
        <v>378.68346732096398</v>
      </c>
      <c r="M13">
        <v>-50.7223904672638</v>
      </c>
      <c r="N13">
        <v>-27.390090852322501</v>
      </c>
      <c r="O13">
        <v>34.594822078569003</v>
      </c>
      <c r="P13">
        <v>86.830918611714793</v>
      </c>
      <c r="Q13">
        <v>1.9277989921468299</v>
      </c>
    </row>
    <row r="14" spans="1:17" x14ac:dyDescent="0.25">
      <c r="A14" s="4"/>
      <c r="B14" s="4"/>
      <c r="C14" t="s">
        <v>96</v>
      </c>
      <c r="D14" s="1">
        <v>5.1797256251941499E-8</v>
      </c>
      <c r="E14" s="1">
        <v>5.0758221269959298E-8</v>
      </c>
      <c r="F14">
        <v>0</v>
      </c>
      <c r="G14" s="1">
        <v>4.3674874580011203E-14</v>
      </c>
      <c r="H14">
        <v>0</v>
      </c>
      <c r="I14">
        <v>0</v>
      </c>
      <c r="J14">
        <v>0</v>
      </c>
      <c r="K14" s="1">
        <v>6.7825914350608303E-12</v>
      </c>
      <c r="L14" s="1">
        <v>6.3776498842448095E-10</v>
      </c>
      <c r="M14" s="1">
        <v>-5.8635840066822694E-11</v>
      </c>
      <c r="N14" s="1">
        <v>-3.1663353636084301E-11</v>
      </c>
      <c r="O14" s="1">
        <v>4.2733902491933898E-10</v>
      </c>
      <c r="P14" s="1">
        <v>5.4206429692707101E-11</v>
      </c>
      <c r="Q14" s="1">
        <v>3.19746633891485E-12</v>
      </c>
    </row>
    <row r="15" spans="1:17" x14ac:dyDescent="0.25">
      <c r="A15" s="4"/>
      <c r="B15" s="4"/>
      <c r="C15" t="s">
        <v>97</v>
      </c>
      <c r="D15">
        <v>48272.770890634303</v>
      </c>
      <c r="E15">
        <v>41198.6327216313</v>
      </c>
      <c r="F15">
        <v>0</v>
      </c>
      <c r="G15">
        <v>0.39236302959422797</v>
      </c>
      <c r="H15">
        <v>0</v>
      </c>
      <c r="I15">
        <v>0</v>
      </c>
      <c r="J15">
        <v>0</v>
      </c>
      <c r="K15">
        <v>13.607505134760601</v>
      </c>
      <c r="L15">
        <v>5726.1777172074499</v>
      </c>
      <c r="M15">
        <v>-794.614269342184</v>
      </c>
      <c r="N15">
        <v>-429.091705444779</v>
      </c>
      <c r="O15">
        <v>2508.3697655085002</v>
      </c>
      <c r="P15">
        <v>46.491141614020997</v>
      </c>
      <c r="Q15">
        <v>2.80565129561605</v>
      </c>
    </row>
    <row r="16" spans="1:17" x14ac:dyDescent="0.25">
      <c r="A16" s="4"/>
      <c r="B16" s="4"/>
      <c r="C16" t="s">
        <v>98</v>
      </c>
      <c r="D16">
        <v>0.11455036104501801</v>
      </c>
      <c r="E16">
        <v>0.11447373886462001</v>
      </c>
      <c r="F16">
        <v>0</v>
      </c>
      <c r="G16" s="1">
        <v>5.9553048262890002E-8</v>
      </c>
      <c r="H16">
        <v>0</v>
      </c>
      <c r="I16">
        <v>0</v>
      </c>
      <c r="J16">
        <v>0</v>
      </c>
      <c r="K16" s="1">
        <v>1.0359048383439299E-5</v>
      </c>
      <c r="L16" s="1">
        <v>8.3341611028106205E-5</v>
      </c>
      <c r="M16" s="1">
        <v>-2.7508498441819999E-5</v>
      </c>
      <c r="N16" s="1">
        <v>-1.4854589158582799E-5</v>
      </c>
      <c r="O16" s="1">
        <v>1.4187278742399999E-5</v>
      </c>
      <c r="P16" s="1">
        <v>1.07251269191359E-5</v>
      </c>
      <c r="Q16" s="1">
        <v>3.12649877092475E-7</v>
      </c>
    </row>
    <row r="17" spans="1:17" x14ac:dyDescent="0.25">
      <c r="A17" s="4"/>
      <c r="B17" s="4"/>
      <c r="C17" t="s">
        <v>99</v>
      </c>
      <c r="D17">
        <v>4.1730668915899702E-2</v>
      </c>
      <c r="E17">
        <v>4.16949701756043E-2</v>
      </c>
      <c r="F17">
        <v>0</v>
      </c>
      <c r="G17" s="1">
        <v>2.1971686161567199E-8</v>
      </c>
      <c r="H17">
        <v>0</v>
      </c>
      <c r="I17">
        <v>0</v>
      </c>
      <c r="J17">
        <v>0</v>
      </c>
      <c r="K17" s="1">
        <v>3.6517086853907898E-6</v>
      </c>
      <c r="L17" s="1">
        <v>3.8402290419828901E-5</v>
      </c>
      <c r="M17" s="1">
        <v>-1.37281903248327E-5</v>
      </c>
      <c r="N17" s="1">
        <v>-7.4132227754096299E-6</v>
      </c>
      <c r="O17" s="1">
        <v>7.6768107610827808E-6</v>
      </c>
      <c r="P17" s="1">
        <v>6.9411440430703699E-6</v>
      </c>
      <c r="Q17" s="1">
        <v>1.4622780017217E-7</v>
      </c>
    </row>
    <row r="18" spans="1:17" x14ac:dyDescent="0.25">
      <c r="A18" s="4"/>
      <c r="B18" s="4"/>
      <c r="C18" t="s">
        <v>100</v>
      </c>
      <c r="D18">
        <v>134.88454352148401</v>
      </c>
      <c r="E18">
        <v>134.74948445247199</v>
      </c>
      <c r="F18">
        <v>0</v>
      </c>
      <c r="G18" s="1">
        <v>3.4879260739198498E-5</v>
      </c>
      <c r="H18">
        <v>0</v>
      </c>
      <c r="I18">
        <v>0</v>
      </c>
      <c r="J18">
        <v>0</v>
      </c>
      <c r="K18">
        <v>2.00726528660287E-2</v>
      </c>
      <c r="L18">
        <v>0.104619168799093</v>
      </c>
      <c r="M18">
        <v>-1.81909984578606E-2</v>
      </c>
      <c r="N18">
        <v>-9.8231391672447196E-3</v>
      </c>
      <c r="O18">
        <v>2.68328433935499E-2</v>
      </c>
      <c r="P18">
        <v>1.0877018978507499E-2</v>
      </c>
      <c r="Q18">
        <v>6.3664333897138004E-4</v>
      </c>
    </row>
    <row r="19" spans="1:17" x14ac:dyDescent="0.25">
      <c r="A19" s="4"/>
      <c r="B19" s="4"/>
      <c r="C19" t="s">
        <v>101</v>
      </c>
      <c r="D19">
        <v>6.0836769635857699E-2</v>
      </c>
      <c r="E19">
        <v>6.0810394470836401E-2</v>
      </c>
      <c r="F19">
        <v>0</v>
      </c>
      <c r="G19" s="1">
        <v>1.72324568759103E-8</v>
      </c>
      <c r="H19">
        <v>0</v>
      </c>
      <c r="I19">
        <v>0</v>
      </c>
      <c r="J19">
        <v>0</v>
      </c>
      <c r="K19" s="1">
        <v>6.9231850658816897E-6</v>
      </c>
      <c r="L19" s="1">
        <v>2.0007877069888799E-5</v>
      </c>
      <c r="M19" s="1">
        <v>-4.4483520521352997E-6</v>
      </c>
      <c r="N19" s="1">
        <v>-2.4021101081530602E-6</v>
      </c>
      <c r="O19" s="1">
        <v>3.8133418214488402E-6</v>
      </c>
      <c r="P19" s="1">
        <v>2.3799616618857201E-6</v>
      </c>
      <c r="Q19" s="1">
        <v>8.4029105552250104E-8</v>
      </c>
    </row>
    <row r="20" spans="1:17" x14ac:dyDescent="0.25">
      <c r="A20" s="4"/>
      <c r="B20" s="4"/>
      <c r="C20" t="s">
        <v>102</v>
      </c>
      <c r="D20">
        <v>6.0121987473433502E-3</v>
      </c>
      <c r="E20">
        <v>6.0058501774651503E-3</v>
      </c>
      <c r="F20">
        <v>0</v>
      </c>
      <c r="G20" s="1">
        <v>1.73838291577814E-9</v>
      </c>
      <c r="H20">
        <v>0</v>
      </c>
      <c r="I20">
        <v>0</v>
      </c>
      <c r="J20">
        <v>0</v>
      </c>
      <c r="K20" s="1">
        <v>1.4413769049965399E-6</v>
      </c>
      <c r="L20" s="1">
        <v>5.3939798340818698E-6</v>
      </c>
      <c r="M20" s="1">
        <v>-1.2191914370135299E-6</v>
      </c>
      <c r="N20" s="1">
        <v>-6.58363375987308E-7</v>
      </c>
      <c r="O20" s="1">
        <v>7.0711121085914296E-7</v>
      </c>
      <c r="P20" s="1">
        <v>6.5903122410015597E-7</v>
      </c>
      <c r="Q20" s="1">
        <v>2.28871342528446E-8</v>
      </c>
    </row>
    <row r="21" spans="1:17" x14ac:dyDescent="0.25">
      <c r="A21" s="4"/>
      <c r="B21" s="4"/>
      <c r="C21" t="s">
        <v>103</v>
      </c>
      <c r="D21">
        <v>1.1098388880793899E-3</v>
      </c>
      <c r="E21">
        <v>1.1083898447551001E-3</v>
      </c>
      <c r="F21">
        <v>0</v>
      </c>
      <c r="G21" s="1">
        <v>3.8175024711111201E-10</v>
      </c>
      <c r="H21">
        <v>0</v>
      </c>
      <c r="I21">
        <v>0</v>
      </c>
      <c r="J21">
        <v>0</v>
      </c>
      <c r="K21" s="1">
        <v>1.06001792344042E-7</v>
      </c>
      <c r="L21" s="1">
        <v>1.3388458560222099E-6</v>
      </c>
      <c r="M21" s="1">
        <v>-2.1864225523356601E-7</v>
      </c>
      <c r="N21" s="1">
        <v>-1.18066817826126E-7</v>
      </c>
      <c r="O21" s="1">
        <v>1.6734364641060399E-7</v>
      </c>
      <c r="P21" s="1">
        <v>1.6923840673921001E-7</v>
      </c>
      <c r="Q21" s="1">
        <v>3.9409455911732801E-9</v>
      </c>
    </row>
    <row r="22" spans="1:17" x14ac:dyDescent="0.25">
      <c r="A22" s="4"/>
      <c r="B22" s="4"/>
      <c r="C22" t="s">
        <v>104</v>
      </c>
      <c r="D22">
        <v>4.2897471475338202E-3</v>
      </c>
      <c r="E22">
        <v>4.2672607295904698E-3</v>
      </c>
      <c r="F22">
        <v>0</v>
      </c>
      <c r="G22" s="1">
        <v>3.1192632676603998E-8</v>
      </c>
      <c r="H22">
        <v>0</v>
      </c>
      <c r="I22">
        <v>0</v>
      </c>
      <c r="J22">
        <v>0</v>
      </c>
      <c r="K22" s="1">
        <v>1.1374050631749999E-6</v>
      </c>
      <c r="L22" s="1">
        <v>3.7160978691804699E-5</v>
      </c>
      <c r="M22" s="1">
        <v>-1.6404033684898001E-5</v>
      </c>
      <c r="N22" s="1">
        <v>-8.8581781898449193E-6</v>
      </c>
      <c r="O22" s="1">
        <v>7.0931844487900001E-6</v>
      </c>
      <c r="P22" s="1">
        <v>2.2260542324791502E-6</v>
      </c>
      <c r="Q22" s="1">
        <v>9.9814749173126004E-8</v>
      </c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17" x14ac:dyDescent="0.25">
      <c r="A24" s="4"/>
      <c r="B24" s="4"/>
      <c r="C24" s="6" t="s">
        <v>26</v>
      </c>
      <c r="D24" s="6" t="s">
        <v>27</v>
      </c>
      <c r="E24" s="6" t="s">
        <v>28</v>
      </c>
      <c r="F24" s="6" t="s">
        <v>29</v>
      </c>
      <c r="G24" s="6" t="s">
        <v>27</v>
      </c>
      <c r="H24" s="6" t="s">
        <v>28</v>
      </c>
      <c r="I24" s="6" t="s">
        <v>29</v>
      </c>
    </row>
    <row r="25" spans="1:17" x14ac:dyDescent="0.25">
      <c r="A25" s="4" t="s">
        <v>30</v>
      </c>
      <c r="B25" s="4"/>
      <c r="C25" s="4"/>
      <c r="D25" s="6" t="s">
        <v>31</v>
      </c>
      <c r="E25" s="6" t="s">
        <v>32</v>
      </c>
      <c r="F25" s="6" t="s">
        <v>33</v>
      </c>
      <c r="G25" s="6" t="s">
        <v>31</v>
      </c>
      <c r="H25" s="6" t="s">
        <v>32</v>
      </c>
      <c r="I25" s="6" t="s">
        <v>33</v>
      </c>
    </row>
    <row r="26" spans="1:17" x14ac:dyDescent="0.25">
      <c r="A26" s="4"/>
      <c r="B26" s="4"/>
      <c r="C26" s="4"/>
      <c r="D26" s="6" t="s">
        <v>34</v>
      </c>
      <c r="E26" s="6" t="s">
        <v>34</v>
      </c>
      <c r="F26" s="6" t="s">
        <v>34</v>
      </c>
      <c r="G26" s="6" t="s">
        <v>35</v>
      </c>
      <c r="H26" s="6" t="s">
        <v>35</v>
      </c>
      <c r="I26" s="6" t="s">
        <v>35</v>
      </c>
    </row>
    <row r="27" spans="1:17" x14ac:dyDescent="0.25">
      <c r="A27" s="4"/>
      <c r="B27" s="4"/>
      <c r="C27" s="4" t="s">
        <v>36</v>
      </c>
      <c r="D27" s="4">
        <v>1.8599999999999999E-4</v>
      </c>
      <c r="E27" s="4">
        <v>1.8100000000000001E-4</v>
      </c>
      <c r="F27" s="4">
        <v>2.7500000000000002E-4</v>
      </c>
      <c r="G27" s="4">
        <v>8.0000000000000004E-4</v>
      </c>
      <c r="H27" s="4">
        <v>9.1699999999999995E-4</v>
      </c>
      <c r="I27" s="4">
        <v>2.48E-3</v>
      </c>
    </row>
    <row r="28" spans="1:17" x14ac:dyDescent="0.25">
      <c r="A28" s="4"/>
      <c r="B28" s="4"/>
      <c r="C28" s="4" t="s">
        <v>37</v>
      </c>
      <c r="D28" s="4">
        <v>2.1000000000000001E-2</v>
      </c>
      <c r="E28" s="4">
        <v>2.0199999999999999E-2</v>
      </c>
      <c r="F28" s="4">
        <v>4.1000000000000002E-2</v>
      </c>
      <c r="G28" s="4">
        <v>1.4999999999999999E-2</v>
      </c>
      <c r="H28" s="4">
        <v>1.35E-2</v>
      </c>
      <c r="I28" s="4">
        <v>2.3900000000000001E-2</v>
      </c>
    </row>
    <row r="29" spans="1:17" x14ac:dyDescent="0.25">
      <c r="A29" s="4"/>
      <c r="B29" s="4"/>
      <c r="C29" s="4" t="s">
        <v>38</v>
      </c>
      <c r="D29" s="4">
        <v>131</v>
      </c>
      <c r="E29" s="4">
        <v>308</v>
      </c>
      <c r="F29" s="4">
        <v>308</v>
      </c>
      <c r="G29" s="4">
        <v>98.5</v>
      </c>
      <c r="H29" s="4">
        <v>245</v>
      </c>
      <c r="I29" s="4">
        <v>245</v>
      </c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7" x14ac:dyDescent="0.25">
      <c r="A31" s="4" t="s">
        <v>39</v>
      </c>
      <c r="B31" s="4"/>
      <c r="C31" s="4"/>
      <c r="D31" s="67" t="s">
        <v>40</v>
      </c>
      <c r="E31" s="67"/>
      <c r="F31" s="67"/>
      <c r="G31" s="67"/>
      <c r="H31" s="4"/>
      <c r="I31" s="4"/>
    </row>
    <row r="32" spans="1:17" x14ac:dyDescent="0.25">
      <c r="A32" s="4"/>
      <c r="B32" s="4"/>
      <c r="C32" s="4"/>
      <c r="D32" s="6" t="s">
        <v>41</v>
      </c>
      <c r="E32" s="6" t="s">
        <v>31</v>
      </c>
      <c r="F32" s="6" t="s">
        <v>32</v>
      </c>
      <c r="G32" s="6" t="s">
        <v>33</v>
      </c>
      <c r="H32" s="4"/>
      <c r="I32" s="4"/>
    </row>
    <row r="33" spans="1:27" x14ac:dyDescent="0.25">
      <c r="A33" s="4"/>
      <c r="B33" s="4"/>
      <c r="C33" s="4" t="s">
        <v>42</v>
      </c>
      <c r="D33" s="4">
        <v>400</v>
      </c>
      <c r="E33" s="4">
        <v>250</v>
      </c>
      <c r="F33" s="4">
        <v>400</v>
      </c>
      <c r="G33" s="4">
        <v>500</v>
      </c>
      <c r="H33" s="4"/>
      <c r="I33" s="4"/>
    </row>
    <row r="34" spans="1:27" x14ac:dyDescent="0.25">
      <c r="A34" s="4"/>
      <c r="B34" s="4"/>
      <c r="C34" s="4" t="s">
        <v>43</v>
      </c>
      <c r="D34" s="4">
        <v>400</v>
      </c>
      <c r="E34" s="4">
        <v>550</v>
      </c>
      <c r="F34" s="4">
        <v>300</v>
      </c>
      <c r="G34" s="4">
        <v>300</v>
      </c>
      <c r="H34" s="4"/>
      <c r="I34" s="4"/>
    </row>
    <row r="35" spans="1:27" x14ac:dyDescent="0.25">
      <c r="A35" s="4"/>
      <c r="B35" s="4"/>
      <c r="C35" s="4" t="s">
        <v>44</v>
      </c>
      <c r="D35" s="4">
        <v>200</v>
      </c>
      <c r="E35" s="4">
        <v>200</v>
      </c>
      <c r="F35" s="4">
        <v>300</v>
      </c>
      <c r="G35" s="4">
        <v>200</v>
      </c>
      <c r="H35" s="4"/>
      <c r="I35" s="4"/>
    </row>
    <row r="36" spans="1:27" x14ac:dyDescent="0.25">
      <c r="A36" s="4"/>
      <c r="B36" s="4"/>
      <c r="C36" s="4" t="s">
        <v>4</v>
      </c>
      <c r="D36" s="4">
        <f>SUM(D33:D35)</f>
        <v>1000</v>
      </c>
      <c r="E36" s="4">
        <f>SUM(E33:E35)</f>
        <v>1000</v>
      </c>
      <c r="F36" s="4">
        <f>SUM(F33:F35)</f>
        <v>1000</v>
      </c>
      <c r="G36" s="4">
        <f>SUM(G33:G35)</f>
        <v>1000</v>
      </c>
      <c r="H36" s="4"/>
      <c r="I36" s="4"/>
    </row>
    <row r="37" spans="1:27" x14ac:dyDescent="0.25">
      <c r="A37" s="4"/>
      <c r="B37" s="4"/>
      <c r="C37" s="4"/>
      <c r="D37" s="4">
        <v>30</v>
      </c>
      <c r="E37" s="4"/>
      <c r="F37" s="4"/>
      <c r="G37" s="4"/>
      <c r="H37" s="4"/>
      <c r="I37" s="4"/>
    </row>
    <row r="38" spans="1:27" x14ac:dyDescent="0.25">
      <c r="A38" s="6" t="s">
        <v>45</v>
      </c>
      <c r="B38" s="4"/>
      <c r="C38" s="4"/>
      <c r="D38" s="4" t="str">
        <f>D5</f>
        <v>Total</v>
      </c>
      <c r="E38" s="4" t="str">
        <f t="shared" ref="E38:Q38" si="0">E5</f>
        <v>Diesel burning</v>
      </c>
      <c r="F38" s="4" t="str">
        <f t="shared" si="0"/>
        <v>Aluminium hull making &lt;u-so&gt;</v>
      </c>
      <c r="G38" s="4" t="str">
        <f t="shared" si="0"/>
        <v>CH: disposal, building, bulk iron (excluding reinforcement), to sorting plant</v>
      </c>
      <c r="H38" s="4" t="str">
        <f t="shared" si="0"/>
        <v>Natio: Aluminium rolling &lt;u-so&gt;</v>
      </c>
      <c r="I38" s="4" t="str">
        <f t="shared" si="0"/>
        <v>NO: ferry assembly Aluminium ferry &lt;u-so&gt;</v>
      </c>
      <c r="J38" s="4" t="str">
        <f t="shared" si="0"/>
        <v>NO: operation-Aluminium ferry &lt;u-so&gt;</v>
      </c>
      <c r="K38" s="4" t="str">
        <f t="shared" si="0"/>
        <v>OCE: transport, transoceanic freight ship</v>
      </c>
      <c r="L38" s="4" t="str">
        <f t="shared" si="0"/>
        <v>RER: aluminium alloy, AlMg3, at plant</v>
      </c>
      <c r="M38" s="4" t="str">
        <f t="shared" si="0"/>
        <v>RER: aluminium, secondary, from old scrap, at plant (Inverted)</v>
      </c>
      <c r="N38" s="4" t="str">
        <f t="shared" si="0"/>
        <v>RER: aluminium, secondary, from old scrap, at plant (Inverted)</v>
      </c>
      <c r="O38" s="4" t="str">
        <f t="shared" si="0"/>
        <v>RER: gas motor 206kW</v>
      </c>
      <c r="P38" s="4" t="str">
        <f t="shared" si="0"/>
        <v>RER: sheet rolling, aluminium</v>
      </c>
      <c r="Q38" s="4" t="str">
        <f t="shared" si="0"/>
        <v>RER: welding, arc, aluminium</v>
      </c>
    </row>
    <row r="39" spans="1:27" x14ac:dyDescent="0.25">
      <c r="A39" s="4"/>
      <c r="B39" s="4"/>
      <c r="C39" s="4" t="s">
        <v>46</v>
      </c>
      <c r="D39" s="7">
        <f>D$6/$E$27+D$7/$E$27+D$10/$E$27+D$11/$E$27+D$14/$E$27+D$16/$E$27+D$20/$E$27+D$21/$E$27+D$22/$E$27</f>
        <v>6139.6616941516495</v>
      </c>
      <c r="E39" s="7">
        <f t="shared" ref="E39:Q39" si="1">E$6/$E$27+E$7/$E$27+E$10/$E$27+E$11/$E$27+E$14/$E$27+E$16/$E$27+E$20/$E$27+E$21/$E$27+E$22/$E$27</f>
        <v>6123.2321309733261</v>
      </c>
      <c r="F39" s="7">
        <f t="shared" si="1"/>
        <v>0</v>
      </c>
      <c r="G39" s="7">
        <f t="shared" si="1"/>
        <v>2.8797452742919589E-3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0.61160078663193285</v>
      </c>
      <c r="L39" s="7">
        <f t="shared" si="1"/>
        <v>16.396609103255468</v>
      </c>
      <c r="M39" s="7">
        <f t="shared" si="1"/>
        <v>-2.6883696642631967</v>
      </c>
      <c r="N39" s="7">
        <f t="shared" si="1"/>
        <v>-1.451719618702126</v>
      </c>
      <c r="O39" s="7">
        <f t="shared" si="1"/>
        <v>1.8751826265110094</v>
      </c>
      <c r="P39" s="7">
        <f t="shared" si="1"/>
        <v>1.6380065432855169</v>
      </c>
      <c r="Q39" s="7">
        <f t="shared" si="1"/>
        <v>4.5373656329810948E-2</v>
      </c>
      <c r="U39" s="1"/>
      <c r="V39" s="1"/>
    </row>
    <row r="40" spans="1:27" x14ac:dyDescent="0.25">
      <c r="A40" s="4"/>
      <c r="B40" s="4"/>
      <c r="C40" s="4" t="s">
        <v>47</v>
      </c>
      <c r="D40" s="7">
        <f>D$8/$E$28+D$12/$E$28+D$13/$D$2/$E$28+D$17/$E$28+D$18/$E$28+D$19/$E$28</f>
        <v>15335.341340409474</v>
      </c>
      <c r="E40" s="7">
        <f t="shared" ref="E40:Q40" si="2">E$8/$E$28+E$12/$E$28+E$13/$D$2/$E$28+E$17/$E$28+E$18/$E$28+E$19/$E$28</f>
        <v>15303.592208992526</v>
      </c>
      <c r="F40" s="7">
        <f t="shared" si="2"/>
        <v>0</v>
      </c>
      <c r="G40" s="7">
        <f t="shared" si="2"/>
        <v>5.4875080320998595E-3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1.8515554403166918</v>
      </c>
      <c r="L40" s="7">
        <f t="shared" si="2"/>
        <v>29.828171334107839</v>
      </c>
      <c r="M40" s="7">
        <f t="shared" si="2"/>
        <v>-4.6526772603378026</v>
      </c>
      <c r="N40" s="7">
        <f t="shared" si="2"/>
        <v>-2.512445720582412</v>
      </c>
      <c r="O40" s="7">
        <f t="shared" si="2"/>
        <v>4.1001456231301701</v>
      </c>
      <c r="P40" s="7">
        <f t="shared" si="2"/>
        <v>3.0276301180823468</v>
      </c>
      <c r="Q40" s="7">
        <f t="shared" si="2"/>
        <v>0.10126437420676027</v>
      </c>
      <c r="U40" s="1"/>
      <c r="V40" s="1"/>
    </row>
    <row r="41" spans="1:27" x14ac:dyDescent="0.25">
      <c r="A41" s="4"/>
      <c r="B41" s="4"/>
      <c r="C41" s="4" t="s">
        <v>48</v>
      </c>
      <c r="D41" s="4">
        <f>D$9/$D$1/$E$29+D$15/$E$29</f>
        <v>22918.880764952642</v>
      </c>
      <c r="E41" s="4">
        <f t="shared" ref="E41:Q41" si="3">E$9/$D$1/$E$29+E$15/$E$29</f>
        <v>22856.855999214615</v>
      </c>
      <c r="F41" s="4">
        <f t="shared" si="3"/>
        <v>0</v>
      </c>
      <c r="G41" s="4">
        <f t="shared" si="3"/>
        <v>1.1826478484738142E-2</v>
      </c>
      <c r="H41" s="4">
        <f t="shared" si="3"/>
        <v>0</v>
      </c>
      <c r="I41" s="4">
        <f t="shared" si="3"/>
        <v>0</v>
      </c>
      <c r="J41" s="4">
        <f>J$9/$D$1/$E$29+J$15/$E$29</f>
        <v>0</v>
      </c>
      <c r="K41" s="4">
        <f t="shared" si="3"/>
        <v>2.2762609499294042</v>
      </c>
      <c r="L41" s="4">
        <f t="shared" si="3"/>
        <v>55.763588748359581</v>
      </c>
      <c r="M41" s="4">
        <f t="shared" si="3"/>
        <v>-12.575137325203357</v>
      </c>
      <c r="N41" s="4">
        <f t="shared" si="3"/>
        <v>-6.7905741556098018</v>
      </c>
      <c r="O41" s="4">
        <f t="shared" si="3"/>
        <v>16.493312655629449</v>
      </c>
      <c r="P41" s="4">
        <f t="shared" si="3"/>
        <v>6.6840745134764967</v>
      </c>
      <c r="Q41" s="4">
        <f t="shared" si="3"/>
        <v>0.16141387296778748</v>
      </c>
    </row>
    <row r="42" spans="1:2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2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27" x14ac:dyDescent="0.25">
      <c r="A44" s="4"/>
      <c r="B44" s="4"/>
      <c r="C44" s="5" t="s">
        <v>42</v>
      </c>
      <c r="D44" s="7">
        <f>D39*$F$33</f>
        <v>2455864.6776606599</v>
      </c>
      <c r="E44" s="7">
        <f t="shared" ref="E44:Q44" si="4">E39*$F$33</f>
        <v>2449292.8523893305</v>
      </c>
      <c r="F44" s="7">
        <f t="shared" si="4"/>
        <v>0</v>
      </c>
      <c r="G44" s="7">
        <f t="shared" si="4"/>
        <v>1.1518981097167835</v>
      </c>
      <c r="H44" s="7">
        <f t="shared" si="4"/>
        <v>0</v>
      </c>
      <c r="I44" s="7">
        <f t="shared" si="4"/>
        <v>0</v>
      </c>
      <c r="J44" s="7">
        <f t="shared" si="4"/>
        <v>0</v>
      </c>
      <c r="K44" s="7">
        <f t="shared" si="4"/>
        <v>244.64031465277313</v>
      </c>
      <c r="L44" s="7">
        <f t="shared" si="4"/>
        <v>6558.6436413021875</v>
      </c>
      <c r="M44" s="7">
        <f t="shared" si="4"/>
        <v>-1075.3478657052788</v>
      </c>
      <c r="N44" s="7">
        <f t="shared" si="4"/>
        <v>-580.68784748085034</v>
      </c>
      <c r="O44" s="7">
        <f t="shared" si="4"/>
        <v>750.07305060440376</v>
      </c>
      <c r="P44" s="7">
        <f t="shared" si="4"/>
        <v>655.20261731420669</v>
      </c>
      <c r="Q44" s="7">
        <f t="shared" si="4"/>
        <v>18.149462531924378</v>
      </c>
      <c r="T44" s="1"/>
      <c r="U44" s="1"/>
      <c r="W44" s="1"/>
      <c r="X44" s="1"/>
      <c r="Z44" s="1"/>
      <c r="AA44" s="1"/>
    </row>
    <row r="45" spans="1:27" x14ac:dyDescent="0.25">
      <c r="A45" s="4"/>
      <c r="B45" s="4"/>
      <c r="C45" s="5" t="s">
        <v>43</v>
      </c>
      <c r="D45" s="7">
        <f>D40*$F$34</f>
        <v>4600602.4021228421</v>
      </c>
      <c r="E45" s="7">
        <f t="shared" ref="E45:Q45" si="5">E40*$F$34</f>
        <v>4591077.6626977576</v>
      </c>
      <c r="F45" s="7">
        <f t="shared" si="5"/>
        <v>0</v>
      </c>
      <c r="G45" s="7">
        <f t="shared" si="5"/>
        <v>1.6462524096299578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555.46663209500753</v>
      </c>
      <c r="L45" s="7">
        <f t="shared" si="5"/>
        <v>8948.4514002323522</v>
      </c>
      <c r="M45" s="7">
        <f t="shared" si="5"/>
        <v>-1395.8031781013408</v>
      </c>
      <c r="N45" s="7">
        <f t="shared" si="5"/>
        <v>-753.73371617472355</v>
      </c>
      <c r="O45" s="7">
        <f t="shared" si="5"/>
        <v>1230.043686939051</v>
      </c>
      <c r="P45" s="7">
        <f t="shared" si="5"/>
        <v>908.28903542470402</v>
      </c>
      <c r="Q45" s="7">
        <f t="shared" si="5"/>
        <v>30.37931226202808</v>
      </c>
      <c r="T45" s="1"/>
      <c r="U45" s="1"/>
      <c r="W45" s="1"/>
      <c r="X45" s="1"/>
      <c r="Z45" s="1"/>
      <c r="AA45" s="1"/>
    </row>
    <row r="46" spans="1:27" x14ac:dyDescent="0.25">
      <c r="A46" s="4"/>
      <c r="B46" s="4"/>
      <c r="C46" s="5" t="s">
        <v>44</v>
      </c>
      <c r="D46" s="7">
        <f>D41*$F$35</f>
        <v>6875664.229485793</v>
      </c>
      <c r="E46" s="7">
        <f t="shared" ref="E46:Q46" si="6">E41*$F$35</f>
        <v>6857056.7997643845</v>
      </c>
      <c r="F46" s="7">
        <f t="shared" si="6"/>
        <v>0</v>
      </c>
      <c r="G46" s="7">
        <f t="shared" si="6"/>
        <v>3.5479435454214423</v>
      </c>
      <c r="H46" s="7">
        <f t="shared" si="6"/>
        <v>0</v>
      </c>
      <c r="I46" s="7">
        <f t="shared" si="6"/>
        <v>0</v>
      </c>
      <c r="J46" s="7">
        <f t="shared" si="6"/>
        <v>0</v>
      </c>
      <c r="K46" s="7">
        <f t="shared" si="6"/>
        <v>682.87828497882128</v>
      </c>
      <c r="L46" s="7">
        <f t="shared" si="6"/>
        <v>16729.076624507874</v>
      </c>
      <c r="M46" s="7">
        <f t="shared" si="6"/>
        <v>-3772.5411975610073</v>
      </c>
      <c r="N46" s="7">
        <f t="shared" si="6"/>
        <v>-2037.1722466829406</v>
      </c>
      <c r="O46" s="7">
        <f t="shared" si="6"/>
        <v>4947.9937966888347</v>
      </c>
      <c r="P46" s="7">
        <f t="shared" si="6"/>
        <v>2005.2223540429491</v>
      </c>
      <c r="Q46" s="7">
        <f t="shared" si="6"/>
        <v>48.424161890336244</v>
      </c>
    </row>
    <row r="48" spans="1:27" x14ac:dyDescent="0.25">
      <c r="A48" t="s">
        <v>114</v>
      </c>
      <c r="D48" s="18"/>
      <c r="E48" s="18">
        <f>E44/$D44</f>
        <v>0.99732402793561514</v>
      </c>
      <c r="F48" s="18">
        <f t="shared" ref="F48:Q48" si="7">F44/$D44</f>
        <v>0</v>
      </c>
      <c r="G48" s="18">
        <f t="shared" si="7"/>
        <v>4.6903973178767611E-7</v>
      </c>
      <c r="H48" s="18">
        <f t="shared" si="7"/>
        <v>0</v>
      </c>
      <c r="I48" s="18">
        <f t="shared" si="7"/>
        <v>0</v>
      </c>
      <c r="J48" s="18">
        <f t="shared" si="7"/>
        <v>0</v>
      </c>
      <c r="K48" s="18">
        <f t="shared" si="7"/>
        <v>9.9614737276895024E-5</v>
      </c>
      <c r="L48" s="19">
        <f t="shared" si="7"/>
        <v>2.6706046554444687E-3</v>
      </c>
      <c r="M48" s="18">
        <f t="shared" si="7"/>
        <v>-4.37869348212461E-4</v>
      </c>
      <c r="N48" s="18">
        <f t="shared" si="7"/>
        <v>-2.3644944803472885E-4</v>
      </c>
      <c r="O48" s="18">
        <f t="shared" si="7"/>
        <v>3.0542116486600871E-4</v>
      </c>
      <c r="P48" s="18">
        <f t="shared" si="7"/>
        <v>2.6679100981179531E-4</v>
      </c>
      <c r="Q48" s="18">
        <f t="shared" si="7"/>
        <v>7.3902535009431768E-6</v>
      </c>
    </row>
    <row r="49" spans="5:17" x14ac:dyDescent="0.25">
      <c r="E49" s="18">
        <f t="shared" ref="E49:Q50" si="8">E45/$D45</f>
        <v>0.9979296755962459</v>
      </c>
      <c r="F49" s="18">
        <f t="shared" si="8"/>
        <v>0</v>
      </c>
      <c r="G49" s="18">
        <f t="shared" si="8"/>
        <v>3.5783409774127242E-7</v>
      </c>
      <c r="H49" s="18">
        <f t="shared" si="8"/>
        <v>0</v>
      </c>
      <c r="I49" s="18">
        <f t="shared" si="8"/>
        <v>0</v>
      </c>
      <c r="J49" s="18">
        <f t="shared" si="8"/>
        <v>0</v>
      </c>
      <c r="K49" s="18">
        <f t="shared" si="8"/>
        <v>1.2073780421422643E-4</v>
      </c>
      <c r="L49" s="19">
        <f t="shared" si="8"/>
        <v>1.9450608024947549E-3</v>
      </c>
      <c r="M49" s="18">
        <f t="shared" si="8"/>
        <v>-3.0339574170923345E-4</v>
      </c>
      <c r="N49" s="18">
        <f t="shared" si="8"/>
        <v>-1.6383370052298597E-4</v>
      </c>
      <c r="O49" s="18">
        <f t="shared" si="8"/>
        <v>2.673657880914629E-4</v>
      </c>
      <c r="P49" s="18">
        <f t="shared" si="8"/>
        <v>1.974282835233914E-4</v>
      </c>
      <c r="Q49" s="18">
        <f t="shared" si="8"/>
        <v>6.6033335651892556E-6</v>
      </c>
    </row>
    <row r="50" spans="5:17" x14ac:dyDescent="0.25">
      <c r="E50" s="18">
        <f t="shared" si="8"/>
        <v>0.99729372623497059</v>
      </c>
      <c r="F50" s="18">
        <f t="shared" si="8"/>
        <v>0</v>
      </c>
      <c r="G50" s="18">
        <f t="shared" si="8"/>
        <v>5.1601466083907077E-7</v>
      </c>
      <c r="H50" s="18">
        <f t="shared" si="8"/>
        <v>0</v>
      </c>
      <c r="I50" s="18">
        <f t="shared" si="8"/>
        <v>0</v>
      </c>
      <c r="J50" s="18">
        <f t="shared" si="8"/>
        <v>0</v>
      </c>
      <c r="K50" s="18">
        <f t="shared" si="8"/>
        <v>9.9318154899180031E-5</v>
      </c>
      <c r="L50" s="19">
        <f t="shared" si="8"/>
        <v>2.4330851632874142E-3</v>
      </c>
      <c r="M50" s="18">
        <f t="shared" si="8"/>
        <v>-5.4868025424841644E-4</v>
      </c>
      <c r="N50" s="18">
        <f t="shared" si="8"/>
        <v>-2.9628733729414439E-4</v>
      </c>
      <c r="O50" s="18">
        <f t="shared" si="8"/>
        <v>7.1963866057765267E-4</v>
      </c>
      <c r="P50" s="18">
        <f t="shared" si="8"/>
        <v>2.9164052913516295E-4</v>
      </c>
      <c r="Q50" s="18">
        <f t="shared" si="8"/>
        <v>7.042834011974101E-6</v>
      </c>
    </row>
  </sheetData>
  <mergeCells count="1">
    <mergeCell ref="D31:G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B1" workbookViewId="0">
      <selection activeCell="E5" sqref="E5"/>
    </sheetView>
  </sheetViews>
  <sheetFormatPr defaultRowHeight="15" x14ac:dyDescent="0.25"/>
  <cols>
    <col min="1" max="1" width="19" bestFit="1" customWidth="1"/>
    <col min="3" max="3" width="18.7109375" customWidth="1"/>
    <col min="4" max="4" width="12.85546875" customWidth="1"/>
    <col min="9" max="9" width="18.5703125" customWidth="1"/>
    <col min="10" max="11" width="12.42578125" customWidth="1"/>
    <col min="12" max="12" width="10.7109375" customWidth="1"/>
    <col min="14" max="14" width="12.7109375" customWidth="1"/>
    <col min="15" max="15" width="15.7109375" customWidth="1"/>
    <col min="16" max="16" width="20.140625" customWidth="1"/>
  </cols>
  <sheetData>
    <row r="1" spans="1:29" x14ac:dyDescent="0.25">
      <c r="A1" t="s">
        <v>138</v>
      </c>
      <c r="B1" s="8" t="s">
        <v>188</v>
      </c>
      <c r="C1" s="8"/>
      <c r="D1" s="8"/>
      <c r="E1" s="8"/>
      <c r="F1" s="8"/>
      <c r="G1" s="8"/>
      <c r="H1" s="8"/>
      <c r="I1" s="8"/>
    </row>
    <row r="2" spans="1:29" x14ac:dyDescent="0.25">
      <c r="A2">
        <f>'CFRP production'!C43</f>
        <v>0</v>
      </c>
      <c r="B2" t="s">
        <v>83</v>
      </c>
      <c r="C2" t="str">
        <f>'CFRP production'!E38</f>
        <v>Carbonfiber production</v>
      </c>
      <c r="D2" t="str">
        <f>'CFRP production'!I38</f>
        <v>PVC Foam production</v>
      </c>
      <c r="E2" t="str">
        <f>'CFRP production'!J38</f>
        <v>CH: disposal, building, bulk iron (excluding reinforcement), to sorting plant</v>
      </c>
      <c r="F2" t="str">
        <f>'CFRP production'!K38</f>
        <v>CH: disposal, polyethylene, 0.4% water, to municipal incineration</v>
      </c>
      <c r="G2" t="str">
        <f>'CFRP production'!L38</f>
        <v>CH: disposal, polyvinylchloride, 0.2% water, to sanitary landfill</v>
      </c>
      <c r="H2" t="str">
        <f>'CFRP production'!M38</f>
        <v>CH: disposal, wood untreated, 20% water, to municipal incineration</v>
      </c>
      <c r="I2" s="8" t="str">
        <f>'CFRP production'!N38</f>
        <v>DK: Powermix</v>
      </c>
      <c r="J2" t="str">
        <f>'CFRP production'!O38</f>
        <v>DK: Structure prodution at Tuco &lt;u-so&gt;</v>
      </c>
      <c r="K2" t="str">
        <f>'CFRP production'!T38</f>
        <v>RER: acetone, liquid, at plant</v>
      </c>
      <c r="L2" t="str">
        <f>'CFRP production'!U38</f>
        <v>RER: acrylic filler, at plant</v>
      </c>
      <c r="M2" t="str">
        <f>'CFRP production'!V38</f>
        <v>RER: cumene, at plant</v>
      </c>
      <c r="N2" t="str">
        <f>'CFRP production'!W38</f>
        <v>RER: epoxy resin, liquid, at plant</v>
      </c>
      <c r="O2" t="str">
        <f>'CFRP production'!X38</f>
        <v>RER: gas motor 206kW</v>
      </c>
      <c r="P2" s="8" t="str">
        <f>'CFRP production'!Y38</f>
        <v>RER: natural gas, burned in industrial furnace low-NOx &gt;100kW</v>
      </c>
      <c r="Q2" t="str">
        <f>'CFRP production'!Z38</f>
        <v>RER: plywood, indoor use, at plant</v>
      </c>
      <c r="R2" t="str">
        <f>'CFRP production'!AA38</f>
        <v>RER: polyester resin, unsaturated, at plant</v>
      </c>
      <c r="S2" t="str">
        <f>'CFRP production'!AB38</f>
        <v>RER: polystyrene, general purpose, GPPS, at plant</v>
      </c>
      <c r="T2" t="str">
        <f>'CFRP production'!AC38</f>
        <v>RER: transport, barge</v>
      </c>
      <c r="U2" t="str">
        <f>'CFRP production'!AD38</f>
        <v>RER: transport, lorry 16-32t, EURO5</v>
      </c>
      <c r="V2" t="s">
        <v>132</v>
      </c>
      <c r="W2">
        <f>'CFRP production'!AF38</f>
        <v>0</v>
      </c>
      <c r="X2">
        <f>'CFRP production'!AG38</f>
        <v>0</v>
      </c>
      <c r="Y2">
        <f>'CFRP production'!AH38</f>
        <v>0</v>
      </c>
      <c r="Z2">
        <f>'CFRP production'!AI38</f>
        <v>0</v>
      </c>
      <c r="AA2">
        <f>'CFRP production'!AJ38</f>
        <v>0</v>
      </c>
      <c r="AB2">
        <f>'CFRP production'!AK38</f>
        <v>0</v>
      </c>
      <c r="AC2">
        <f>'CFRP production'!AL38</f>
        <v>0</v>
      </c>
    </row>
    <row r="3" spans="1:29" x14ac:dyDescent="0.25">
      <c r="A3" t="str">
        <f>'CFRP production'!C44</f>
        <v>Ecosystems</v>
      </c>
      <c r="B3">
        <f>SUM(C3:U3)</f>
        <v>10133.706514480185</v>
      </c>
      <c r="C3">
        <f>'CFRP production'!E44</f>
        <v>2637.4878883003112</v>
      </c>
      <c r="D3">
        <f>'CFRP production'!I44</f>
        <v>738.95094294473745</v>
      </c>
      <c r="E3">
        <f>'CFRP production'!J44</f>
        <v>0.82953739095116863</v>
      </c>
      <c r="F3">
        <f>'CFRP production'!K44</f>
        <v>546.86069670785025</v>
      </c>
      <c r="G3">
        <f>'CFRP production'!L44</f>
        <v>2.5009673549623557</v>
      </c>
      <c r="H3">
        <f>'CFRP production'!M44</f>
        <v>21.50507650230546</v>
      </c>
      <c r="I3" s="9">
        <f>'CFRP production'!N44</f>
        <v>728.00866064863681</v>
      </c>
      <c r="J3">
        <f>'CFRP production'!O44</f>
        <v>6.8165362869236296E-3</v>
      </c>
      <c r="K3">
        <f>'CFRP production'!T44</f>
        <v>31.347730094647041</v>
      </c>
      <c r="L3">
        <f>'CFRP production'!U44</f>
        <v>4.7243629208809645</v>
      </c>
      <c r="M3">
        <f>'CFRP production'!V44</f>
        <v>22.485259593607523</v>
      </c>
      <c r="N3">
        <f>'CFRP production'!W44</f>
        <v>2191.8205632401618</v>
      </c>
      <c r="O3" s="1">
        <f>'CFRP production'!X44</f>
        <v>540.16378373443786</v>
      </c>
      <c r="P3" s="9">
        <f>'CFRP production'!Y44</f>
        <v>1748.2969605322933</v>
      </c>
      <c r="Q3">
        <f>'CFRP production'!Z44</f>
        <v>433.46165566413885</v>
      </c>
      <c r="R3">
        <f>'CFRP production'!AA44</f>
        <v>145.92506792553272</v>
      </c>
      <c r="S3">
        <f>'CFRP production'!AB44</f>
        <v>185.16515569230381</v>
      </c>
      <c r="T3">
        <f>'CFRP production'!AC44</f>
        <v>21.854757507212632</v>
      </c>
      <c r="U3">
        <f>'CFRP production'!AD44</f>
        <v>132.31063118892422</v>
      </c>
      <c r="V3">
        <f>SUM(D3,G3,H3,J3,K3,L3,M3,R3,S3,T3,U3)</f>
        <v>1306.776768261401</v>
      </c>
    </row>
    <row r="4" spans="1:29" x14ac:dyDescent="0.25">
      <c r="A4" t="str">
        <f>'CFRP production'!C45</f>
        <v>Human health</v>
      </c>
      <c r="B4">
        <f t="shared" ref="B4:B5" si="0">SUM(C4:U4)</f>
        <v>14178.144202711117</v>
      </c>
      <c r="C4">
        <f>'CFRP production'!E45</f>
        <v>3688.7967951430123</v>
      </c>
      <c r="D4">
        <f>'CFRP production'!I45</f>
        <v>953.97532493010999</v>
      </c>
      <c r="E4">
        <f>'CFRP production'!J45</f>
        <v>1.1855457676436973</v>
      </c>
      <c r="F4">
        <f>'CFRP production'!K45</f>
        <v>683.31953999198765</v>
      </c>
      <c r="G4">
        <f>'CFRP production'!L45</f>
        <v>6.3949065501798747</v>
      </c>
      <c r="H4">
        <f>'CFRP production'!M45</f>
        <v>25.903837697284175</v>
      </c>
      <c r="I4" s="9">
        <f>'CFRP production'!N45</f>
        <v>906.60472134774272</v>
      </c>
      <c r="J4">
        <f>'CFRP production'!O45</f>
        <v>1.3094576575422232</v>
      </c>
      <c r="K4">
        <f>'CFRP production'!T45</f>
        <v>45.684944575591828</v>
      </c>
      <c r="L4">
        <f>'CFRP production'!U45</f>
        <v>6.4705690411495009</v>
      </c>
      <c r="M4">
        <f>'CFRP production'!V45</f>
        <v>30.858070843587793</v>
      </c>
      <c r="N4">
        <f>'CFRP production'!W45</f>
        <v>4157.766923410346</v>
      </c>
      <c r="O4">
        <f>'CFRP production'!X45</f>
        <v>885.81379048382746</v>
      </c>
      <c r="P4" s="9">
        <f>'CFRP production'!Y45</f>
        <v>2074.3297116365488</v>
      </c>
      <c r="Q4">
        <f>'CFRP production'!Z45</f>
        <v>57.175404637722238</v>
      </c>
      <c r="R4">
        <f>'CFRP production'!AA45</f>
        <v>193.28501395971944</v>
      </c>
      <c r="S4">
        <f>'CFRP production'!AB45</f>
        <v>257.5454740005992</v>
      </c>
      <c r="T4">
        <f>'CFRP production'!AC45</f>
        <v>30.037297795077713</v>
      </c>
      <c r="U4">
        <f>'CFRP production'!AD45</f>
        <v>171.68687324144378</v>
      </c>
      <c r="V4">
        <f t="shared" ref="V4:V5" si="1">SUM(D4,G4,H4,J4,K4,L4,M4,R4,S4,T4,U4)</f>
        <v>1723.1517702922852</v>
      </c>
    </row>
    <row r="5" spans="1:29" x14ac:dyDescent="0.25">
      <c r="A5" t="str">
        <f>'CFRP production'!C46</f>
        <v>Resources</v>
      </c>
      <c r="B5">
        <f t="shared" si="0"/>
        <v>36326.555052576419</v>
      </c>
      <c r="C5">
        <f>'CFRP production'!E46</f>
        <v>10158.050703471958</v>
      </c>
      <c r="D5">
        <f>'CFRP production'!I46</f>
        <v>3129.0342025247642</v>
      </c>
      <c r="E5">
        <f>'CFRP production'!J46</f>
        <v>2.5550452831584018</v>
      </c>
      <c r="F5">
        <f>'CFRP production'!K46</f>
        <v>9.4764092442984946</v>
      </c>
      <c r="G5">
        <f>'CFRP production'!L46</f>
        <v>2.4024446482301904</v>
      </c>
      <c r="H5">
        <f>'CFRP production'!M46</f>
        <v>0.59217479962827901</v>
      </c>
      <c r="I5" s="9">
        <f>'CFRP production'!N46</f>
        <v>2048.5268579453959</v>
      </c>
      <c r="J5">
        <f>'CFRP production'!O46</f>
        <v>0</v>
      </c>
      <c r="K5">
        <f>'CFRP production'!T46</f>
        <v>197.84118295342114</v>
      </c>
      <c r="L5">
        <f>'CFRP production'!U46</f>
        <v>23.524364615409862</v>
      </c>
      <c r="M5">
        <f>'CFRP production'!V46</f>
        <v>156.65475779314366</v>
      </c>
      <c r="N5">
        <f>'CFRP production'!W46</f>
        <v>8737.9381602862268</v>
      </c>
      <c r="O5">
        <f>'CFRP production'!X46</f>
        <v>3563.2890009317048</v>
      </c>
      <c r="P5" s="9">
        <f>'CFRP production'!Y46</f>
        <v>6332.9733835541692</v>
      </c>
      <c r="Q5">
        <f>'CFRP production'!Z46</f>
        <v>63.204002169300146</v>
      </c>
      <c r="R5">
        <f>'CFRP production'!AA46</f>
        <v>476.51345823448133</v>
      </c>
      <c r="S5">
        <f>'CFRP production'!AB46</f>
        <v>962.87564787465647</v>
      </c>
      <c r="T5">
        <f>'CFRP production'!AC46</f>
        <v>47.921722363065321</v>
      </c>
      <c r="U5">
        <f>'CFRP production'!AD46</f>
        <v>413.18153388339704</v>
      </c>
      <c r="V5">
        <f t="shared" si="1"/>
        <v>5410.5414896901966</v>
      </c>
    </row>
    <row r="7" spans="1:29" x14ac:dyDescent="0.25">
      <c r="A7" t="str">
        <f>A3</f>
        <v>Ecosystems</v>
      </c>
      <c r="B7" s="18">
        <f>SUM(C7,F7,I7,N7,O7,P7,Q7,V7,D7)</f>
        <v>0.99999999999999978</v>
      </c>
      <c r="C7" s="19">
        <f>C3/$B3</f>
        <v>0.26026882508700744</v>
      </c>
      <c r="D7" s="33">
        <f t="shared" ref="D7:U9" si="2">D3/$B3</f>
        <v>7.2920104987137802E-2</v>
      </c>
      <c r="E7" s="32">
        <f t="shared" si="2"/>
        <v>8.1859227891179984E-5</v>
      </c>
      <c r="F7" s="18">
        <f t="shared" si="2"/>
        <v>5.3964528766096975E-2</v>
      </c>
      <c r="G7" s="32">
        <f t="shared" si="2"/>
        <v>2.4679690016566897E-4</v>
      </c>
      <c r="H7" s="32">
        <f t="shared" si="2"/>
        <v>2.1221333449490151E-3</v>
      </c>
      <c r="I7" s="18">
        <f t="shared" si="2"/>
        <v>7.1840314262937827E-2</v>
      </c>
      <c r="J7" s="32">
        <f t="shared" si="2"/>
        <v>6.7265972990074189E-7</v>
      </c>
      <c r="K7" s="32">
        <f t="shared" si="2"/>
        <v>3.0934120748270992E-3</v>
      </c>
      <c r="L7" s="32">
        <f t="shared" si="2"/>
        <v>4.6620285619385765E-4</v>
      </c>
      <c r="M7" s="32">
        <f t="shared" si="2"/>
        <v>2.2188583773842317E-3</v>
      </c>
      <c r="N7" s="19">
        <f t="shared" si="2"/>
        <v>0.21629011656379044</v>
      </c>
      <c r="O7" s="18">
        <f t="shared" si="2"/>
        <v>5.3303673533725372E-2</v>
      </c>
      <c r="P7" s="19">
        <f t="shared" si="2"/>
        <v>0.17252295179795557</v>
      </c>
      <c r="Q7" s="18">
        <f t="shared" si="2"/>
        <v>4.2774246031771282E-2</v>
      </c>
      <c r="R7" s="32">
        <f t="shared" si="2"/>
        <v>1.4399969815291028E-2</v>
      </c>
      <c r="S7" s="32">
        <f t="shared" si="2"/>
        <v>1.8272204294422667E-2</v>
      </c>
      <c r="T7" s="32">
        <f t="shared" si="2"/>
        <v>2.1566400680722384E-3</v>
      </c>
      <c r="U7" s="32">
        <f t="shared" si="2"/>
        <v>1.3056489350650114E-2</v>
      </c>
      <c r="V7" s="18">
        <f>SUM(E7,G7,H7,J7,K7,L7,M7,R7,S7,T7,U7)</f>
        <v>5.6115238969577E-2</v>
      </c>
    </row>
    <row r="8" spans="1:29" x14ac:dyDescent="0.25">
      <c r="A8" t="str">
        <f t="shared" ref="A8:A9" si="3">A4</f>
        <v>Human health</v>
      </c>
      <c r="B8" s="18">
        <f t="shared" ref="B8:B9" si="4">SUM(C8,F8,I8,N8,O8,P8,Q8,V8,D8)</f>
        <v>1</v>
      </c>
      <c r="C8" s="19">
        <f t="shared" ref="C8:R9" si="5">C4/$B4</f>
        <v>0.26017486790955674</v>
      </c>
      <c r="D8" s="33">
        <f t="shared" si="5"/>
        <v>6.7284921869231143E-2</v>
      </c>
      <c r="E8" s="32">
        <f t="shared" si="5"/>
        <v>8.3617838180613196E-5</v>
      </c>
      <c r="F8" s="18">
        <f t="shared" si="5"/>
        <v>4.8195273670677198E-2</v>
      </c>
      <c r="G8" s="32">
        <f t="shared" si="5"/>
        <v>4.5103974531145288E-4</v>
      </c>
      <c r="H8" s="32">
        <f t="shared" si="5"/>
        <v>1.8270259722940956E-3</v>
      </c>
      <c r="I8" s="18">
        <f t="shared" si="5"/>
        <v>6.394382144698342E-2</v>
      </c>
      <c r="J8" s="32">
        <f t="shared" si="5"/>
        <v>9.2357479146800561E-5</v>
      </c>
      <c r="K8" s="32">
        <f t="shared" si="5"/>
        <v>3.2222090509458948E-3</v>
      </c>
      <c r="L8" s="32">
        <f t="shared" si="5"/>
        <v>4.5637630345953255E-4</v>
      </c>
      <c r="M8" s="32">
        <f t="shared" si="5"/>
        <v>2.1764534485188246E-3</v>
      </c>
      <c r="N8" s="19">
        <f t="shared" si="5"/>
        <v>0.2932518433981865</v>
      </c>
      <c r="O8" s="18">
        <f t="shared" si="5"/>
        <v>6.2477414379411088E-2</v>
      </c>
      <c r="P8" s="19">
        <f t="shared" si="5"/>
        <v>0.14630474073185823</v>
      </c>
      <c r="Q8" s="18">
        <f t="shared" si="5"/>
        <v>4.0326437522612635E-3</v>
      </c>
      <c r="R8" s="32">
        <f t="shared" si="5"/>
        <v>1.3632603195188256E-2</v>
      </c>
      <c r="S8" s="32">
        <f t="shared" si="2"/>
        <v>1.8164963645337439E-2</v>
      </c>
      <c r="T8" s="32">
        <f t="shared" si="2"/>
        <v>2.1185634287267329E-3</v>
      </c>
      <c r="U8" s="32">
        <f t="shared" si="2"/>
        <v>1.2109262734724771E-2</v>
      </c>
      <c r="V8" s="18">
        <f t="shared" ref="V8:V9" si="6">SUM(E8,G8,H8,J8,K8,L8,M8,R8,S8,T8,U8)</f>
        <v>5.4334472841834416E-2</v>
      </c>
    </row>
    <row r="9" spans="1:29" x14ac:dyDescent="0.25">
      <c r="A9" t="str">
        <f t="shared" si="3"/>
        <v>Resources</v>
      </c>
      <c r="B9" s="18">
        <f t="shared" si="4"/>
        <v>0.99999999999999978</v>
      </c>
      <c r="C9" s="19">
        <f t="shared" si="5"/>
        <v>0.27963154471350044</v>
      </c>
      <c r="D9" s="33">
        <f t="shared" si="2"/>
        <v>8.6136276836491305E-2</v>
      </c>
      <c r="E9" s="32">
        <f t="shared" si="2"/>
        <v>7.0335468900379201E-5</v>
      </c>
      <c r="F9" s="18">
        <f t="shared" si="2"/>
        <v>2.6086726997875324E-4</v>
      </c>
      <c r="G9" s="32">
        <f t="shared" si="2"/>
        <v>6.6134667731445115E-5</v>
      </c>
      <c r="H9" s="32">
        <f t="shared" si="2"/>
        <v>1.630143014583156E-5</v>
      </c>
      <c r="I9" s="18">
        <f t="shared" si="2"/>
        <v>5.6391993542478959E-2</v>
      </c>
      <c r="J9" s="32">
        <f t="shared" si="2"/>
        <v>0</v>
      </c>
      <c r="K9" s="32">
        <f t="shared" si="2"/>
        <v>5.4461862036485481E-3</v>
      </c>
      <c r="L9" s="32">
        <f t="shared" si="2"/>
        <v>6.475803879933675E-4</v>
      </c>
      <c r="M9" s="32">
        <f t="shared" si="2"/>
        <v>4.3124033524900157E-3</v>
      </c>
      <c r="N9" s="19">
        <f t="shared" si="2"/>
        <v>0.24053858527569072</v>
      </c>
      <c r="O9" s="18">
        <f t="shared" si="2"/>
        <v>9.8090473918445026E-2</v>
      </c>
      <c r="P9" s="19">
        <f t="shared" si="2"/>
        <v>0.17433454326699252</v>
      </c>
      <c r="Q9" s="18">
        <f t="shared" si="2"/>
        <v>1.7398842823885519E-3</v>
      </c>
      <c r="R9" s="32">
        <f t="shared" si="2"/>
        <v>1.3117496485554722E-2</v>
      </c>
      <c r="S9" s="32">
        <f t="shared" si="2"/>
        <v>2.6506109552118556E-2</v>
      </c>
      <c r="T9" s="32">
        <f t="shared" si="2"/>
        <v>1.3191925932339826E-3</v>
      </c>
      <c r="U9" s="32">
        <f t="shared" si="2"/>
        <v>1.137409075221661E-2</v>
      </c>
      <c r="V9" s="18">
        <f t="shared" si="6"/>
        <v>6.2875830894033452E-2</v>
      </c>
    </row>
    <row r="10" spans="1:29" x14ac:dyDescent="0.25">
      <c r="C10">
        <v>1</v>
      </c>
      <c r="D10">
        <v>1</v>
      </c>
      <c r="F10">
        <v>1</v>
      </c>
      <c r="I10">
        <v>1</v>
      </c>
      <c r="N10">
        <v>1</v>
      </c>
      <c r="O10">
        <v>1</v>
      </c>
      <c r="P10">
        <v>1</v>
      </c>
      <c r="Q10">
        <v>1</v>
      </c>
      <c r="V10">
        <v>1</v>
      </c>
    </row>
    <row r="11" spans="1:29" x14ac:dyDescent="0.25">
      <c r="C11" t="str">
        <f>C2</f>
        <v>Carbonfiber production</v>
      </c>
      <c r="D11" t="str">
        <f t="shared" ref="D11" si="7">D2</f>
        <v>PVC Foam production</v>
      </c>
      <c r="E11" t="str">
        <f>F2</f>
        <v>CH: disposal, polyethylene, 0.4% water, to municipal incineration</v>
      </c>
      <c r="F11" t="str">
        <f>I2</f>
        <v>DK: Powermix</v>
      </c>
      <c r="G11" t="str">
        <f>N2</f>
        <v>RER: epoxy resin, liquid, at plant</v>
      </c>
      <c r="H11" t="str">
        <f>O2</f>
        <v>RER: gas motor 206kW</v>
      </c>
      <c r="I11" t="str">
        <f>P2</f>
        <v>RER: natural gas, burned in industrial furnace low-NOx &gt;100kW</v>
      </c>
      <c r="J11" t="str">
        <f>Q2</f>
        <v>RER: plywood, indoor use, at plant</v>
      </c>
      <c r="K11" t="str">
        <f>V2</f>
        <v>Other</v>
      </c>
    </row>
    <row r="12" spans="1:29" x14ac:dyDescent="0.25">
      <c r="A12" t="str">
        <f>A7</f>
        <v>Ecosystems</v>
      </c>
      <c r="C12">
        <f t="shared" ref="C12:D12" si="8">C7</f>
        <v>0.26026882508700744</v>
      </c>
      <c r="D12">
        <f t="shared" si="8"/>
        <v>7.2920104987137802E-2</v>
      </c>
      <c r="E12">
        <f>F7</f>
        <v>5.3964528766096975E-2</v>
      </c>
      <c r="F12">
        <f>I7</f>
        <v>7.1840314262937827E-2</v>
      </c>
      <c r="G12">
        <f t="shared" ref="G12:J15" si="9">N7</f>
        <v>0.21629011656379044</v>
      </c>
      <c r="H12">
        <f t="shared" si="9"/>
        <v>5.3303673533725372E-2</v>
      </c>
      <c r="I12">
        <f t="shared" si="9"/>
        <v>0.17252295179795557</v>
      </c>
      <c r="J12">
        <f t="shared" si="9"/>
        <v>4.2774246031771282E-2</v>
      </c>
      <c r="K12">
        <f>V7</f>
        <v>5.6115238969577E-2</v>
      </c>
    </row>
    <row r="13" spans="1:29" x14ac:dyDescent="0.25">
      <c r="A13" t="str">
        <f t="shared" ref="A13:D15" si="10">A8</f>
        <v>Human health</v>
      </c>
      <c r="C13">
        <f t="shared" si="10"/>
        <v>0.26017486790955674</v>
      </c>
      <c r="D13">
        <f t="shared" si="10"/>
        <v>6.7284921869231143E-2</v>
      </c>
      <c r="E13">
        <f>F8</f>
        <v>4.8195273670677198E-2</v>
      </c>
      <c r="F13">
        <f>I8</f>
        <v>6.394382144698342E-2</v>
      </c>
      <c r="G13">
        <f t="shared" si="9"/>
        <v>0.2932518433981865</v>
      </c>
      <c r="H13">
        <f t="shared" si="9"/>
        <v>6.2477414379411088E-2</v>
      </c>
      <c r="I13">
        <f t="shared" si="9"/>
        <v>0.14630474073185823</v>
      </c>
      <c r="J13">
        <f t="shared" si="9"/>
        <v>4.0326437522612635E-3</v>
      </c>
      <c r="K13">
        <f>V8</f>
        <v>5.4334472841834416E-2</v>
      </c>
    </row>
    <row r="14" spans="1:29" x14ac:dyDescent="0.25">
      <c r="A14" t="str">
        <f t="shared" si="10"/>
        <v>Resources</v>
      </c>
      <c r="C14">
        <f t="shared" si="10"/>
        <v>0.27963154471350044</v>
      </c>
      <c r="D14">
        <f t="shared" si="10"/>
        <v>8.6136276836491305E-2</v>
      </c>
      <c r="E14">
        <f>F9</f>
        <v>2.6086726997875324E-4</v>
      </c>
      <c r="F14">
        <f>I9</f>
        <v>5.6391993542478959E-2</v>
      </c>
      <c r="G14">
        <f t="shared" si="9"/>
        <v>0.24053858527569072</v>
      </c>
      <c r="H14">
        <f t="shared" si="9"/>
        <v>9.8090473918445026E-2</v>
      </c>
      <c r="I14">
        <f t="shared" si="9"/>
        <v>0.17433454326699252</v>
      </c>
      <c r="J14">
        <f t="shared" si="9"/>
        <v>1.7398842823885519E-3</v>
      </c>
      <c r="K14">
        <f>V9</f>
        <v>6.2875830894033452E-2</v>
      </c>
    </row>
    <row r="15" spans="1:29" x14ac:dyDescent="0.25">
      <c r="A15">
        <f t="shared" si="10"/>
        <v>0</v>
      </c>
      <c r="B15">
        <f t="shared" si="10"/>
        <v>0</v>
      </c>
      <c r="C15">
        <f t="shared" si="10"/>
        <v>1</v>
      </c>
      <c r="D15">
        <f t="shared" si="10"/>
        <v>1</v>
      </c>
      <c r="E15">
        <f>F10</f>
        <v>1</v>
      </c>
      <c r="F15">
        <f>I10</f>
        <v>1</v>
      </c>
      <c r="G15">
        <f t="shared" si="9"/>
        <v>1</v>
      </c>
      <c r="H15">
        <f t="shared" si="9"/>
        <v>1</v>
      </c>
      <c r="I15">
        <f t="shared" si="9"/>
        <v>1</v>
      </c>
      <c r="J15">
        <f t="shared" si="9"/>
        <v>1</v>
      </c>
      <c r="K15">
        <f>V10</f>
        <v>1</v>
      </c>
    </row>
    <row r="16" spans="1:29" ht="15.75" thickBot="1" x14ac:dyDescent="0.3"/>
    <row r="17" spans="1:28" x14ac:dyDescent="0.25">
      <c r="A17" t="s">
        <v>139</v>
      </c>
      <c r="B17">
        <f>4/7</f>
        <v>0.5714285714285714</v>
      </c>
      <c r="X17" s="38"/>
      <c r="Y17" s="39"/>
      <c r="Z17" s="40"/>
    </row>
    <row r="18" spans="1:28" x14ac:dyDescent="0.25">
      <c r="A18">
        <f>A2</f>
        <v>0</v>
      </c>
      <c r="B18" t="str">
        <f t="shared" ref="B18:U18" si="11">B2</f>
        <v>Total construction</v>
      </c>
      <c r="C18" t="str">
        <f t="shared" si="11"/>
        <v>Carbonfiber production</v>
      </c>
      <c r="D18" t="str">
        <f t="shared" si="11"/>
        <v>PVC Foam production</v>
      </c>
      <c r="E18" t="str">
        <f t="shared" si="11"/>
        <v>CH: disposal, building, bulk iron (excluding reinforcement), to sorting plant</v>
      </c>
      <c r="F18" t="str">
        <f t="shared" si="11"/>
        <v>CH: disposal, polyethylene, 0.4% water, to municipal incineration</v>
      </c>
      <c r="G18" t="str">
        <f t="shared" si="11"/>
        <v>CH: disposal, polyvinylchloride, 0.2% water, to sanitary landfill</v>
      </c>
      <c r="H18" t="str">
        <f t="shared" si="11"/>
        <v>CH: disposal, wood untreated, 20% water, to municipal incineration</v>
      </c>
      <c r="I18" s="35" t="str">
        <f t="shared" si="11"/>
        <v>DK: Powermix</v>
      </c>
      <c r="J18" t="str">
        <f t="shared" si="11"/>
        <v>DK: Structure prodution at Tuco &lt;u-so&gt;</v>
      </c>
      <c r="K18" t="str">
        <f t="shared" si="11"/>
        <v>RER: acetone, liquid, at plant</v>
      </c>
      <c r="L18" t="str">
        <f t="shared" si="11"/>
        <v>RER: acrylic filler, at plant</v>
      </c>
      <c r="M18" t="str">
        <f t="shared" si="11"/>
        <v>RER: cumene, at plant</v>
      </c>
      <c r="N18" t="str">
        <f t="shared" si="11"/>
        <v>RER: epoxy resin, liquid, at plant</v>
      </c>
      <c r="O18" t="str">
        <f t="shared" si="11"/>
        <v>RER: gas motor 206kW</v>
      </c>
      <c r="P18" s="35" t="str">
        <f t="shared" si="11"/>
        <v>RER: natural gas, burned in industrial furnace low-NOx &gt;100kW</v>
      </c>
      <c r="Q18" t="str">
        <f t="shared" si="11"/>
        <v>RER: plywood, indoor use, at plant</v>
      </c>
      <c r="R18" t="str">
        <f t="shared" si="11"/>
        <v>RER: polyester resin, unsaturated, at plant</v>
      </c>
      <c r="S18" t="str">
        <f t="shared" si="11"/>
        <v>RER: polystyrene, general purpose, GPPS, at plant</v>
      </c>
      <c r="T18" t="str">
        <f t="shared" si="11"/>
        <v>RER: transport, barge</v>
      </c>
      <c r="U18" t="str">
        <f t="shared" si="11"/>
        <v>RER: transport, lorry 16-32t, EURO5</v>
      </c>
      <c r="X18" s="41"/>
      <c r="Y18" s="42" t="s">
        <v>131</v>
      </c>
      <c r="Z18" s="43"/>
    </row>
    <row r="19" spans="1:28" x14ac:dyDescent="0.25">
      <c r="A19" t="str">
        <f t="shared" ref="A19:U19" si="12">A3</f>
        <v>Ecosystems</v>
      </c>
      <c r="B19">
        <f>SUM(C19:U19)</f>
        <v>9384.4363885377734</v>
      </c>
      <c r="C19">
        <f t="shared" si="12"/>
        <v>2637.4878883003112</v>
      </c>
      <c r="D19">
        <f t="shared" si="12"/>
        <v>738.95094294473745</v>
      </c>
      <c r="E19">
        <f t="shared" si="12"/>
        <v>0.82953739095116863</v>
      </c>
      <c r="F19">
        <f t="shared" si="12"/>
        <v>546.86069670785025</v>
      </c>
      <c r="G19">
        <f t="shared" si="12"/>
        <v>2.5009673549623557</v>
      </c>
      <c r="H19">
        <f t="shared" si="12"/>
        <v>21.50507650230546</v>
      </c>
      <c r="I19" s="37">
        <f>I3</f>
        <v>728.00866064863681</v>
      </c>
      <c r="J19">
        <f t="shared" si="12"/>
        <v>6.8165362869236296E-3</v>
      </c>
      <c r="K19">
        <f t="shared" si="12"/>
        <v>31.347730094647041</v>
      </c>
      <c r="L19">
        <f t="shared" si="12"/>
        <v>4.7243629208809645</v>
      </c>
      <c r="M19">
        <f t="shared" si="12"/>
        <v>22.485259593607523</v>
      </c>
      <c r="N19">
        <f t="shared" si="12"/>
        <v>2191.8205632401618</v>
      </c>
      <c r="O19">
        <f t="shared" si="12"/>
        <v>540.16378373443786</v>
      </c>
      <c r="P19" s="37">
        <f>P3*$B$17</f>
        <v>999.02683458988179</v>
      </c>
      <c r="Q19">
        <f t="shared" si="12"/>
        <v>433.46165566413885</v>
      </c>
      <c r="R19">
        <f t="shared" si="12"/>
        <v>145.92506792553272</v>
      </c>
      <c r="S19">
        <f t="shared" si="12"/>
        <v>185.16515569230381</v>
      </c>
      <c r="T19">
        <f t="shared" si="12"/>
        <v>21.854757507212632</v>
      </c>
      <c r="U19">
        <f t="shared" si="12"/>
        <v>132.31063118892422</v>
      </c>
      <c r="X19" s="41"/>
      <c r="Y19" s="44">
        <f>(B19-B3)/B3</f>
        <v>-7.3938407913409596E-2</v>
      </c>
      <c r="Z19" s="43"/>
    </row>
    <row r="20" spans="1:28" x14ac:dyDescent="0.25">
      <c r="A20" t="str">
        <f t="shared" ref="A20:U20" si="13">A4</f>
        <v>Human health</v>
      </c>
      <c r="B20">
        <f t="shared" ref="B20:B21" si="14">SUM(C20:U20)</f>
        <v>13289.145754866882</v>
      </c>
      <c r="C20">
        <f t="shared" si="13"/>
        <v>3688.7967951430123</v>
      </c>
      <c r="D20">
        <f t="shared" si="13"/>
        <v>953.97532493010999</v>
      </c>
      <c r="E20">
        <f t="shared" si="13"/>
        <v>1.1855457676436973</v>
      </c>
      <c r="F20">
        <f t="shared" si="13"/>
        <v>683.31953999198765</v>
      </c>
      <c r="G20">
        <f t="shared" si="13"/>
        <v>6.3949065501798747</v>
      </c>
      <c r="H20">
        <f t="shared" si="13"/>
        <v>25.903837697284175</v>
      </c>
      <c r="I20" s="37">
        <f t="shared" si="13"/>
        <v>906.60472134774272</v>
      </c>
      <c r="J20">
        <f t="shared" si="13"/>
        <v>1.3094576575422232</v>
      </c>
      <c r="K20">
        <f t="shared" si="13"/>
        <v>45.684944575591828</v>
      </c>
      <c r="L20">
        <f t="shared" si="13"/>
        <v>6.4705690411495009</v>
      </c>
      <c r="M20">
        <f t="shared" si="13"/>
        <v>30.858070843587793</v>
      </c>
      <c r="N20">
        <f t="shared" si="13"/>
        <v>4157.766923410346</v>
      </c>
      <c r="O20">
        <f t="shared" si="13"/>
        <v>885.81379048382746</v>
      </c>
      <c r="P20" s="37">
        <f>P4*$B$17</f>
        <v>1185.3312637923136</v>
      </c>
      <c r="Q20">
        <f t="shared" si="13"/>
        <v>57.175404637722238</v>
      </c>
      <c r="R20">
        <f t="shared" si="13"/>
        <v>193.28501395971944</v>
      </c>
      <c r="S20">
        <f t="shared" si="13"/>
        <v>257.5454740005992</v>
      </c>
      <c r="T20">
        <f t="shared" si="13"/>
        <v>30.037297795077713</v>
      </c>
      <c r="U20">
        <f t="shared" si="13"/>
        <v>171.68687324144378</v>
      </c>
      <c r="X20" s="41"/>
      <c r="Y20" s="44">
        <f t="shared" ref="Y20:Y21" si="15">(B20-B4)/B4</f>
        <v>-6.2702031742224926E-2</v>
      </c>
      <c r="Z20" s="43"/>
    </row>
    <row r="21" spans="1:28" x14ac:dyDescent="0.25">
      <c r="A21" t="str">
        <f t="shared" ref="A21:U21" si="16">A5</f>
        <v>Resources</v>
      </c>
      <c r="B21">
        <f t="shared" si="14"/>
        <v>33612.423602481766</v>
      </c>
      <c r="C21">
        <f t="shared" si="16"/>
        <v>10158.050703471958</v>
      </c>
      <c r="D21">
        <f t="shared" si="16"/>
        <v>3129.0342025247642</v>
      </c>
      <c r="E21">
        <f t="shared" si="16"/>
        <v>2.5550452831584018</v>
      </c>
      <c r="F21">
        <f t="shared" si="16"/>
        <v>9.4764092442984946</v>
      </c>
      <c r="G21">
        <f t="shared" si="16"/>
        <v>2.4024446482301904</v>
      </c>
      <c r="H21">
        <f t="shared" si="16"/>
        <v>0.59217479962827901</v>
      </c>
      <c r="I21" s="37">
        <f t="shared" si="16"/>
        <v>2048.5268579453959</v>
      </c>
      <c r="J21">
        <f t="shared" si="16"/>
        <v>0</v>
      </c>
      <c r="K21">
        <f t="shared" si="16"/>
        <v>197.84118295342114</v>
      </c>
      <c r="L21">
        <f t="shared" si="16"/>
        <v>23.524364615409862</v>
      </c>
      <c r="M21">
        <f t="shared" si="16"/>
        <v>156.65475779314366</v>
      </c>
      <c r="N21">
        <f t="shared" si="16"/>
        <v>8737.9381602862268</v>
      </c>
      <c r="O21">
        <f t="shared" si="16"/>
        <v>3563.2890009317048</v>
      </c>
      <c r="P21" s="37">
        <f>P5*$B$17</f>
        <v>3618.8419334595251</v>
      </c>
      <c r="Q21">
        <f t="shared" si="16"/>
        <v>63.204002169300146</v>
      </c>
      <c r="R21">
        <f t="shared" si="16"/>
        <v>476.51345823448133</v>
      </c>
      <c r="S21">
        <f t="shared" si="16"/>
        <v>962.87564787465647</v>
      </c>
      <c r="T21">
        <f t="shared" si="16"/>
        <v>47.921722363065321</v>
      </c>
      <c r="U21">
        <f t="shared" si="16"/>
        <v>413.18153388339704</v>
      </c>
      <c r="X21" s="41"/>
      <c r="Y21" s="44">
        <f t="shared" si="15"/>
        <v>-7.4714804257282774E-2</v>
      </c>
      <c r="Z21" s="43"/>
    </row>
    <row r="22" spans="1:28" x14ac:dyDescent="0.25">
      <c r="A22">
        <f t="shared" ref="A22:U22" si="17">A6</f>
        <v>0</v>
      </c>
      <c r="B22">
        <f t="shared" si="17"/>
        <v>0</v>
      </c>
      <c r="C22">
        <f t="shared" si="17"/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 s="35"/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  <c r="N22">
        <f t="shared" si="17"/>
        <v>0</v>
      </c>
      <c r="O22">
        <f t="shared" si="17"/>
        <v>0</v>
      </c>
      <c r="P22" s="35">
        <f t="shared" si="17"/>
        <v>0</v>
      </c>
      <c r="Q22">
        <f t="shared" si="17"/>
        <v>0</v>
      </c>
      <c r="R22">
        <f t="shared" si="17"/>
        <v>0</v>
      </c>
      <c r="S22">
        <f t="shared" si="17"/>
        <v>0</v>
      </c>
      <c r="T22">
        <f t="shared" si="17"/>
        <v>0</v>
      </c>
      <c r="U22">
        <f t="shared" si="17"/>
        <v>0</v>
      </c>
      <c r="X22" s="41"/>
      <c r="Y22" s="44"/>
      <c r="Z22" s="43"/>
    </row>
    <row r="23" spans="1:28" x14ac:dyDescent="0.25">
      <c r="I23" s="37"/>
      <c r="P23" s="37"/>
      <c r="X23" s="41"/>
      <c r="Y23" s="44"/>
      <c r="Z23" s="43"/>
    </row>
    <row r="24" spans="1:28" x14ac:dyDescent="0.25">
      <c r="A24" t="s">
        <v>140</v>
      </c>
      <c r="B24">
        <f>2.5/7</f>
        <v>0.35714285714285715</v>
      </c>
      <c r="V24" s="34"/>
      <c r="W24" s="34"/>
      <c r="X24" s="45"/>
      <c r="Y24" s="46"/>
      <c r="Z24" s="47"/>
      <c r="AA24" s="34"/>
      <c r="AB24" s="34"/>
    </row>
    <row r="25" spans="1:28" x14ac:dyDescent="0.25">
      <c r="A25">
        <f>A2</f>
        <v>0</v>
      </c>
      <c r="B25" t="str">
        <f t="shared" ref="B25:U25" si="18">B2</f>
        <v>Total construction</v>
      </c>
      <c r="C25" t="str">
        <f t="shared" si="18"/>
        <v>Carbonfiber production</v>
      </c>
      <c r="D25" t="str">
        <f t="shared" si="18"/>
        <v>PVC Foam production</v>
      </c>
      <c r="E25" t="str">
        <f t="shared" si="18"/>
        <v>CH: disposal, building, bulk iron (excluding reinforcement), to sorting plant</v>
      </c>
      <c r="F25" t="str">
        <f t="shared" si="18"/>
        <v>CH: disposal, polyethylene, 0.4% water, to municipal incineration</v>
      </c>
      <c r="G25" t="str">
        <f t="shared" si="18"/>
        <v>CH: disposal, polyvinylchloride, 0.2% water, to sanitary landfill</v>
      </c>
      <c r="H25" t="str">
        <f t="shared" si="18"/>
        <v>CH: disposal, wood untreated, 20% water, to municipal incineration</v>
      </c>
      <c r="I25" t="str">
        <f t="shared" si="18"/>
        <v>DK: Powermix</v>
      </c>
      <c r="J25" t="str">
        <f t="shared" si="18"/>
        <v>DK: Structure prodution at Tuco &lt;u-so&gt;</v>
      </c>
      <c r="K25" t="str">
        <f t="shared" si="18"/>
        <v>RER: acetone, liquid, at plant</v>
      </c>
      <c r="L25" t="str">
        <f t="shared" si="18"/>
        <v>RER: acrylic filler, at plant</v>
      </c>
      <c r="M25" t="str">
        <f t="shared" si="18"/>
        <v>RER: cumene, at plant</v>
      </c>
      <c r="N25" t="str">
        <f t="shared" si="18"/>
        <v>RER: epoxy resin, liquid, at plant</v>
      </c>
      <c r="O25" t="str">
        <f t="shared" si="18"/>
        <v>RER: gas motor 206kW</v>
      </c>
      <c r="P25" t="str">
        <f t="shared" si="18"/>
        <v>RER: natural gas, burned in industrial furnace low-NOx &gt;100kW</v>
      </c>
      <c r="Q25" t="str">
        <f t="shared" si="18"/>
        <v>RER: plywood, indoor use, at plant</v>
      </c>
      <c r="R25" t="str">
        <f t="shared" si="18"/>
        <v>RER: polyester resin, unsaturated, at plant</v>
      </c>
      <c r="S25" t="str">
        <f t="shared" si="18"/>
        <v>RER: polystyrene, general purpose, GPPS, at plant</v>
      </c>
      <c r="T25" t="str">
        <f t="shared" si="18"/>
        <v>RER: transport, barge</v>
      </c>
      <c r="U25" t="str">
        <f t="shared" si="18"/>
        <v>RER: transport, lorry 16-32t, EURO5</v>
      </c>
      <c r="V25" s="34"/>
      <c r="W25" s="34"/>
      <c r="X25" s="45"/>
      <c r="Y25" s="46"/>
      <c r="Z25" s="47"/>
      <c r="AA25" s="34"/>
      <c r="AB25" s="34"/>
    </row>
    <row r="26" spans="1:28" x14ac:dyDescent="0.25">
      <c r="A26" t="str">
        <f t="shared" ref="A26:U26" si="19">A3</f>
        <v>Ecosystems</v>
      </c>
      <c r="B26">
        <f>SUM(C26:U26)</f>
        <v>9009.8013255665683</v>
      </c>
      <c r="C26">
        <f t="shared" si="19"/>
        <v>2637.4878883003112</v>
      </c>
      <c r="D26">
        <f t="shared" si="19"/>
        <v>738.95094294473745</v>
      </c>
      <c r="E26">
        <f t="shared" si="19"/>
        <v>0.82953739095116863</v>
      </c>
      <c r="F26">
        <f t="shared" si="19"/>
        <v>546.86069670785025</v>
      </c>
      <c r="G26">
        <f t="shared" si="19"/>
        <v>2.5009673549623557</v>
      </c>
      <c r="H26">
        <f t="shared" si="19"/>
        <v>21.50507650230546</v>
      </c>
      <c r="I26" s="1">
        <f>I19</f>
        <v>728.00866064863681</v>
      </c>
      <c r="J26">
        <f t="shared" si="19"/>
        <v>6.8165362869236296E-3</v>
      </c>
      <c r="K26">
        <f t="shared" si="19"/>
        <v>31.347730094647041</v>
      </c>
      <c r="L26">
        <f t="shared" si="19"/>
        <v>4.7243629208809645</v>
      </c>
      <c r="M26">
        <f t="shared" si="19"/>
        <v>22.485259593607523</v>
      </c>
      <c r="N26">
        <f t="shared" si="19"/>
        <v>2191.8205632401618</v>
      </c>
      <c r="O26">
        <f t="shared" si="19"/>
        <v>540.16378373443786</v>
      </c>
      <c r="P26" s="1">
        <f>P3*$B$24</f>
        <v>624.39177161867622</v>
      </c>
      <c r="Q26">
        <f t="shared" si="19"/>
        <v>433.46165566413885</v>
      </c>
      <c r="R26">
        <f t="shared" si="19"/>
        <v>145.92506792553272</v>
      </c>
      <c r="S26">
        <f t="shared" si="19"/>
        <v>185.16515569230381</v>
      </c>
      <c r="T26">
        <f t="shared" si="19"/>
        <v>21.854757507212632</v>
      </c>
      <c r="U26">
        <f t="shared" si="19"/>
        <v>132.31063118892422</v>
      </c>
      <c r="V26" s="34"/>
      <c r="W26" s="34"/>
      <c r="X26" s="45"/>
      <c r="Y26" s="44">
        <f>(B26-B3)/B3</f>
        <v>-0.11090761187011429</v>
      </c>
      <c r="Z26" s="47"/>
      <c r="AA26" s="34"/>
      <c r="AB26" s="34"/>
    </row>
    <row r="27" spans="1:28" x14ac:dyDescent="0.25">
      <c r="A27" t="str">
        <f t="shared" ref="A27:U27" si="20">A4</f>
        <v>Human health</v>
      </c>
      <c r="B27">
        <f t="shared" ref="B27:B28" si="21">SUM(C27:U27)</f>
        <v>12844.646530944765</v>
      </c>
      <c r="C27">
        <f t="shared" si="20"/>
        <v>3688.7967951430123</v>
      </c>
      <c r="D27">
        <f t="shared" si="20"/>
        <v>953.97532493010999</v>
      </c>
      <c r="E27">
        <f t="shared" si="20"/>
        <v>1.1855457676436973</v>
      </c>
      <c r="F27">
        <f t="shared" si="20"/>
        <v>683.31953999198765</v>
      </c>
      <c r="G27">
        <f t="shared" si="20"/>
        <v>6.3949065501798747</v>
      </c>
      <c r="H27">
        <f t="shared" si="20"/>
        <v>25.903837697284175</v>
      </c>
      <c r="I27" s="1">
        <f t="shared" ref="I27:I28" si="22">I20</f>
        <v>906.60472134774272</v>
      </c>
      <c r="J27">
        <f t="shared" si="20"/>
        <v>1.3094576575422232</v>
      </c>
      <c r="K27">
        <f t="shared" si="20"/>
        <v>45.684944575591828</v>
      </c>
      <c r="L27">
        <f t="shared" si="20"/>
        <v>6.4705690411495009</v>
      </c>
      <c r="M27">
        <f t="shared" si="20"/>
        <v>30.858070843587793</v>
      </c>
      <c r="N27">
        <f t="shared" si="20"/>
        <v>4157.766923410346</v>
      </c>
      <c r="O27">
        <f t="shared" si="20"/>
        <v>885.81379048382746</v>
      </c>
      <c r="P27" s="1">
        <f t="shared" ref="P27:P28" si="23">P4*$B$24</f>
        <v>740.83203987019601</v>
      </c>
      <c r="Q27">
        <f t="shared" si="20"/>
        <v>57.175404637722238</v>
      </c>
      <c r="R27">
        <f t="shared" si="20"/>
        <v>193.28501395971944</v>
      </c>
      <c r="S27">
        <f t="shared" si="20"/>
        <v>257.5454740005992</v>
      </c>
      <c r="T27">
        <f t="shared" si="20"/>
        <v>30.037297795077713</v>
      </c>
      <c r="U27">
        <f t="shared" si="20"/>
        <v>171.68687324144378</v>
      </c>
      <c r="V27" s="34"/>
      <c r="W27" s="34"/>
      <c r="X27" s="45"/>
      <c r="Y27" s="44">
        <f t="shared" ref="Y27:Y28" si="24">(B27-B4)/B4</f>
        <v>-9.4053047613337382E-2</v>
      </c>
      <c r="Z27" s="47"/>
      <c r="AA27" s="34"/>
      <c r="AB27" s="34"/>
    </row>
    <row r="28" spans="1:28" x14ac:dyDescent="0.25">
      <c r="A28" t="str">
        <f t="shared" ref="A28:U28" si="25">A5</f>
        <v>Resources</v>
      </c>
      <c r="B28">
        <f t="shared" si="21"/>
        <v>32255.35787743445</v>
      </c>
      <c r="C28">
        <f t="shared" si="25"/>
        <v>10158.050703471958</v>
      </c>
      <c r="D28">
        <f t="shared" si="25"/>
        <v>3129.0342025247642</v>
      </c>
      <c r="E28">
        <f t="shared" si="25"/>
        <v>2.5550452831584018</v>
      </c>
      <c r="F28">
        <f t="shared" si="25"/>
        <v>9.4764092442984946</v>
      </c>
      <c r="G28">
        <f t="shared" si="25"/>
        <v>2.4024446482301904</v>
      </c>
      <c r="H28">
        <f t="shared" si="25"/>
        <v>0.59217479962827901</v>
      </c>
      <c r="I28" s="1">
        <f t="shared" si="22"/>
        <v>2048.5268579453959</v>
      </c>
      <c r="J28">
        <f t="shared" si="25"/>
        <v>0</v>
      </c>
      <c r="K28">
        <f t="shared" si="25"/>
        <v>197.84118295342114</v>
      </c>
      <c r="L28">
        <f t="shared" si="25"/>
        <v>23.524364615409862</v>
      </c>
      <c r="M28">
        <f t="shared" si="25"/>
        <v>156.65475779314366</v>
      </c>
      <c r="N28">
        <f t="shared" si="25"/>
        <v>8737.9381602862268</v>
      </c>
      <c r="O28">
        <f t="shared" si="25"/>
        <v>3563.2890009317048</v>
      </c>
      <c r="P28" s="1">
        <f t="shared" si="23"/>
        <v>2261.7762084122032</v>
      </c>
      <c r="Q28">
        <f t="shared" si="25"/>
        <v>63.204002169300146</v>
      </c>
      <c r="R28">
        <f t="shared" si="25"/>
        <v>476.51345823448133</v>
      </c>
      <c r="S28">
        <f t="shared" si="25"/>
        <v>962.87564787465647</v>
      </c>
      <c r="T28">
        <f t="shared" si="25"/>
        <v>47.921722363065321</v>
      </c>
      <c r="U28">
        <f t="shared" si="25"/>
        <v>413.18153388339704</v>
      </c>
      <c r="V28" s="34"/>
      <c r="W28" s="34"/>
      <c r="X28" s="45"/>
      <c r="Y28" s="44">
        <f t="shared" si="24"/>
        <v>-0.11207220638592386</v>
      </c>
      <c r="Z28" s="47"/>
      <c r="AA28" s="34"/>
      <c r="AB28" s="34"/>
    </row>
    <row r="29" spans="1:28" ht="15.75" thickBot="1" x14ac:dyDescent="0.3">
      <c r="I29" s="35"/>
      <c r="P29" s="35"/>
      <c r="V29" s="34"/>
      <c r="W29" s="34"/>
      <c r="X29" s="48"/>
      <c r="Y29" s="49"/>
      <c r="Z29" s="50"/>
      <c r="AA29" s="34"/>
      <c r="AB29" s="34"/>
    </row>
    <row r="30" spans="1:28" x14ac:dyDescent="0.25">
      <c r="C30" s="18"/>
      <c r="D30" s="18"/>
      <c r="E30" s="33"/>
      <c r="F30" s="33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25">
      <c r="B31" t="str">
        <f>A24</f>
        <v>2,5 month</v>
      </c>
      <c r="C31" t="str">
        <f>A17</f>
        <v>4 month</v>
      </c>
      <c r="D31" t="str">
        <f>A1</f>
        <v>7 months</v>
      </c>
      <c r="E31" s="34" t="s">
        <v>84</v>
      </c>
      <c r="F31" s="34"/>
      <c r="G31" s="34" t="s">
        <v>150</v>
      </c>
      <c r="H31" s="34"/>
      <c r="I31" s="34"/>
      <c r="J31" t="s">
        <v>151</v>
      </c>
      <c r="K31" t="s">
        <v>152</v>
      </c>
      <c r="L31" t="s">
        <v>153</v>
      </c>
    </row>
    <row r="32" spans="1:28" x14ac:dyDescent="0.25">
      <c r="A32" t="str">
        <f>A26</f>
        <v>Ecosystems</v>
      </c>
      <c r="B32">
        <f>B26</f>
        <v>9009.8013255665683</v>
      </c>
      <c r="C32">
        <f>B19</f>
        <v>9384.4363885377734</v>
      </c>
      <c r="D32">
        <f>B3</f>
        <v>10133.706514480185</v>
      </c>
      <c r="E32" s="34">
        <f>AlconstrucEco</f>
        <v>7646.0212389246581</v>
      </c>
      <c r="F32" s="34"/>
      <c r="G32" s="33">
        <f>(B32-D32)/D32</f>
        <v>-0.11090761187011429</v>
      </c>
      <c r="H32" s="33">
        <f>(L32-J32)/J32</f>
        <v>-6.2711214872463101E-4</v>
      </c>
      <c r="I32" s="34"/>
      <c r="J32" s="7">
        <f>CFtotaleco</f>
        <v>1792191.7015949949</v>
      </c>
      <c r="K32" s="1">
        <f>J32-D32</f>
        <v>1782057.9950805146</v>
      </c>
      <c r="L32" s="1">
        <f>K32+B32</f>
        <v>1791067.7964060812</v>
      </c>
    </row>
    <row r="33" spans="1:12" x14ac:dyDescent="0.25">
      <c r="A33" t="str">
        <f t="shared" ref="A33:A34" si="26">A27</f>
        <v>Human health</v>
      </c>
      <c r="B33">
        <f>B27</f>
        <v>12844.646530944765</v>
      </c>
      <c r="C33">
        <f t="shared" ref="C33:C34" si="27">B20</f>
        <v>13289.145754866882</v>
      </c>
      <c r="D33">
        <f t="shared" ref="D33:D34" si="28">B4</f>
        <v>14178.144202711117</v>
      </c>
      <c r="E33" s="34">
        <f>AlconstrucHuman</f>
        <v>10918.896350778416</v>
      </c>
      <c r="G33" s="33">
        <f t="shared" ref="G33:G34" si="29">(B33-D33)/D33</f>
        <v>-9.4053047613337382E-2</v>
      </c>
      <c r="H33" s="33">
        <f t="shared" ref="H33:H34" si="30">(L33-J33)/J33</f>
        <v>-3.9752318412141418E-4</v>
      </c>
      <c r="J33" s="7">
        <f>CFtotalhuman</f>
        <v>3354515.4723829161</v>
      </c>
      <c r="K33" s="1">
        <f t="shared" ref="K33:K34" si="31">J33-D33</f>
        <v>3340337.3281802051</v>
      </c>
      <c r="L33" s="1">
        <f t="shared" ref="L33:L34" si="32">K33+B33</f>
        <v>3353181.9747111499</v>
      </c>
    </row>
    <row r="34" spans="1:12" x14ac:dyDescent="0.25">
      <c r="A34" t="str">
        <f t="shared" si="26"/>
        <v>Resources</v>
      </c>
      <c r="B34">
        <f>B28</f>
        <v>32255.35787743445</v>
      </c>
      <c r="C34">
        <f t="shared" si="27"/>
        <v>33612.423602481766</v>
      </c>
      <c r="D34">
        <f t="shared" si="28"/>
        <v>36326.555052576419</v>
      </c>
      <c r="E34" s="34">
        <f>AlconstrucResources</f>
        <v>22376.42297542583</v>
      </c>
      <c r="G34" s="33">
        <f t="shared" si="29"/>
        <v>-0.11207220638592386</v>
      </c>
      <c r="H34" s="33">
        <f t="shared" si="30"/>
        <v>-8.1010148532094579E-4</v>
      </c>
      <c r="J34" s="7">
        <f>CFtotalREsources</f>
        <v>5025539.6995469397</v>
      </c>
      <c r="K34" s="1">
        <f t="shared" si="31"/>
        <v>4989213.1444943631</v>
      </c>
      <c r="L34" s="1">
        <f t="shared" si="32"/>
        <v>5021468.5023717973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37</vt:i4>
      </vt:variant>
    </vt:vector>
  </HeadingPairs>
  <TitlesOfParts>
    <vt:vector size="48" baseType="lpstr">
      <vt:lpstr>basic scenarios</vt:lpstr>
      <vt:lpstr>Sensiitivity</vt:lpstr>
      <vt:lpstr>Grafer</vt:lpstr>
      <vt:lpstr>CFRP production</vt:lpstr>
      <vt:lpstr>polyster (no epoxy)</vt:lpstr>
      <vt:lpstr>prodcution CFRP</vt:lpstr>
      <vt:lpstr>10 years-scenarie</vt:lpstr>
      <vt:lpstr>AL production</vt:lpstr>
      <vt:lpstr>CFRP korteres produtionstid</vt:lpstr>
      <vt:lpstr>LCA- break even</vt:lpstr>
      <vt:lpstr>LCC</vt:lpstr>
      <vt:lpstr>AlconstrucEco</vt:lpstr>
      <vt:lpstr>AlconstrucHuman</vt:lpstr>
      <vt:lpstr>AlconstrucResources</vt:lpstr>
      <vt:lpstr>Alteofeco</vt:lpstr>
      <vt:lpstr>Alteofhuman</vt:lpstr>
      <vt:lpstr>Alteofresource</vt:lpstr>
      <vt:lpstr>Altoperationeco</vt:lpstr>
      <vt:lpstr>Altoperationhuman</vt:lpstr>
      <vt:lpstr>Altoperationresources</vt:lpstr>
      <vt:lpstr>Altotaleco</vt:lpstr>
      <vt:lpstr>Altotalhuman</vt:lpstr>
      <vt:lpstr>Altotalresource</vt:lpstr>
      <vt:lpstr>Altproductioneco</vt:lpstr>
      <vt:lpstr>Altproductionhuman</vt:lpstr>
      <vt:lpstr>Altproductionresources</vt:lpstr>
      <vt:lpstr>Altraweco</vt:lpstr>
      <vt:lpstr>Altrawhuman</vt:lpstr>
      <vt:lpstr>AltRawrescources</vt:lpstr>
      <vt:lpstr>CFconstructionECo</vt:lpstr>
      <vt:lpstr>CFconstructionHuman</vt:lpstr>
      <vt:lpstr>CFconstructionresource</vt:lpstr>
      <vt:lpstr>CFeofeco</vt:lpstr>
      <vt:lpstr>CFeofhuman</vt:lpstr>
      <vt:lpstr>CFeofoperation</vt:lpstr>
      <vt:lpstr>CFeofoperationeco</vt:lpstr>
      <vt:lpstr>CFeofoperationhuman</vt:lpstr>
      <vt:lpstr>CFeofoperationresources</vt:lpstr>
      <vt:lpstr>CFeofREsources</vt:lpstr>
      <vt:lpstr>CFproductionEco</vt:lpstr>
      <vt:lpstr>CFproductionHuman</vt:lpstr>
      <vt:lpstr>CFproductionResources</vt:lpstr>
      <vt:lpstr>CFrawEco</vt:lpstr>
      <vt:lpstr>CFrawhuman</vt:lpstr>
      <vt:lpstr>CFrawresources</vt:lpstr>
      <vt:lpstr>CFtotaleco</vt:lpstr>
      <vt:lpstr>CFtotalhuman</vt:lpstr>
      <vt:lpstr>CFtotalREsources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Meta</cp:lastModifiedBy>
  <dcterms:created xsi:type="dcterms:W3CDTF">2013-06-13T07:38:32Z</dcterms:created>
  <dcterms:modified xsi:type="dcterms:W3CDTF">2013-07-30T12:05:51Z</dcterms:modified>
</cp:coreProperties>
</file>